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221" windowWidth="13275" windowHeight="9435" tabRatio="694" activeTab="0"/>
  </bookViews>
  <sheets>
    <sheet name="data" sheetId="1" r:id="rId1"/>
    <sheet name="ป.1(สกอ)" sheetId="2" r:id="rId2"/>
    <sheet name="ป.1(สมศ)" sheetId="3" r:id="rId3"/>
    <sheet name="ป.2" sheetId="4" r:id="rId4"/>
    <sheet name="ป.3(มาตรฐานอุดมศึกษา)" sheetId="5" r:id="rId5"/>
    <sheet name="ป.4(บริหารจัดการ)" sheetId="6" r:id="rId6"/>
    <sheet name="ป.5(สถาบันอุดมศึกษา)" sheetId="7" r:id="rId7"/>
  </sheets>
  <definedNames>
    <definedName name="_xlfn.SUMIFS" hidden="1">#NAME?</definedName>
    <definedName name="_xlnm.Print_Area" localSheetId="1">'ป.1(สกอ)'!$A$1:$T$51</definedName>
    <definedName name="_xlnm.Print_Area" localSheetId="2">'ป.1(สมศ)'!$A$1:$Q$80</definedName>
    <definedName name="_xlnm.Print_Titles" localSheetId="0">'data'!$3:$5</definedName>
    <definedName name="_xlnm.Print_Titles" localSheetId="1">'ป.1(สกอ)'!$4:$8</definedName>
    <definedName name="_xlnm.Print_Titles" localSheetId="2">'ป.1(สมศ)'!$4:$8</definedName>
  </definedNames>
  <calcPr fullCalcOnLoad="1"/>
</workbook>
</file>

<file path=xl/comments1.xml><?xml version="1.0" encoding="utf-8"?>
<comments xmlns="http://schemas.openxmlformats.org/spreadsheetml/2006/main">
  <authors>
    <author>qaku03</author>
    <author>Office Of Computer Services </author>
  </authors>
  <commentList>
    <comment ref="C232" authorId="0">
      <text>
        <r>
          <rPr>
            <sz val="10"/>
            <color indexed="10"/>
            <rFont val="Arial"/>
            <family val="2"/>
          </rPr>
          <t>กรอกคะแนนเฉลี่ยเฉพาะระดับการศึกษาที่มีผลการประเมินความพึงพอใจ (ช่อง 226-233) ถ้าไม่มีผลการประเมินความพึงพอใจในระดับการศึกษาใด ให้ใส่ "-" ห้ามใส่ "0"</t>
        </r>
      </text>
    </comment>
    <comment ref="D269" authorId="1">
      <text>
        <r>
          <rPr>
            <sz val="10"/>
            <rFont val="Tahoma"/>
            <family val="2"/>
          </rPr>
          <t>กรอกคะแนนเฉลี่ยเฉพาะกิจกรรมที่มีผลการประเมินความพึงพอใจ (ช่อง 262-266) ถ้าไม่มีผลการประเมินความพึงพอใจในกิจกรรมใด ให้ใส่ "-" ห้ามใส่ "0"</t>
        </r>
      </text>
    </comment>
    <comment ref="D256" authorId="1">
      <text>
        <r>
          <rPr>
            <sz val="10"/>
            <rFont val="Tahoma"/>
            <family val="2"/>
          </rPr>
          <t>กรอกคะแนนเฉลี่ยเฉพาะกิจกรรมที่มีผลการประเมินความพึงพอใจ (ช่อง 249-253) ถ้าไม่มีผลการประเมินความพึงพอใจในกิจกรรมใด ให้ใส่ "-" ห้ามใส่ "0"</t>
        </r>
      </text>
    </comment>
  </commentList>
</comments>
</file>

<file path=xl/comments2.xml><?xml version="1.0" encoding="utf-8"?>
<comments xmlns="http://schemas.openxmlformats.org/spreadsheetml/2006/main">
  <authors>
    <author>Office Of Computer Services </author>
  </authors>
  <commentList>
    <comment ref="T33" authorId="0">
      <text>
        <r>
          <rPr>
            <sz val="9"/>
            <rFont val="Tahoma"/>
            <family val="2"/>
          </rPr>
          <t>กรอกข้อมูลตามกลุ่มสาขาวิชาที่เกี่ยวข้อง ได้แก่ 
1) กลุ่มสาขาวิทยาศาสตร์และเทคโนโลยี คะแนนเต็ม 5 = 180,000 บาทขึ้นไปต่อคน
2) กลุ่มสาขาวิทยาศาสตร์สุขภาพ คะแนนเต็ม 5 = 150,000 บาทขึ้นไปต่อคน
3) กลุ่มสาขามนุษยศาสตร์และสังคมศาสตร์ คะแนนเต็ม 5 = 75,000 บาทขึ้นไปต่อคน</t>
        </r>
      </text>
    </comment>
    <comment ref="L13" authorId="0">
      <text>
        <r>
          <rPr>
            <sz val="9"/>
            <rFont val="Tahoma"/>
            <family val="2"/>
          </rPr>
          <t>ต้องปรับแก้ไขสูตรคะแนนผลการประเมินองค์ประกอบที่ 2 ในกรณีตัวบ่งชี้ที่ 2.2 และ 2.3 พิจารณาคะแนนในเงื่อนไขที่ 2</t>
        </r>
      </text>
    </comment>
    <comment ref="L9" authorId="0">
      <text>
        <r>
          <rPr>
            <sz val="9"/>
            <rFont val="Tahoma"/>
            <family val="2"/>
          </rPr>
          <t>ต้องปรับแก้ไขสูตรคะแนนผลการประเมินภาพรวม กรณีที่องค์ประกอบที่ 2 พิจารณาคะแนนในเงื่อนไขที่ 2 ในตัวบ่งชี้ที่ 2.2 และ 2.3</t>
        </r>
      </text>
    </comment>
  </commentList>
</comments>
</file>

<file path=xl/comments3.xml><?xml version="1.0" encoding="utf-8"?>
<comments xmlns="http://schemas.openxmlformats.org/spreadsheetml/2006/main">
  <authors>
    <author>Office Of Computer Services </author>
  </authors>
  <commentList>
    <comment ref="Q43" authorId="0">
      <text>
        <r>
          <rPr>
            <sz val="9"/>
            <rFont val="Tahoma"/>
            <family val="2"/>
          </rPr>
          <t>กรอกข้อมูลตามกลุ่มสาขาวิชาที่เกี่ยวข้อง ได้แก่ 
1) กลุ่มสาขาวิทยาศาสตร์สุขภาพ คะแนนเต็ม 5 = ร้อยละ 20
2) กลุ่มสาขาวิทยาศาสตร์และเทคโนโลยี คะแนนเต็ม 5 = ร้อยละ 20
3) กลุ่มสาขามนุษยศาสตร์และสังคมศาสตร์ คะแนนเต็ม 5 = ร้อยละ 10</t>
        </r>
      </text>
    </comment>
    <comment ref="L64" authorId="0">
      <text>
        <r>
          <rPr>
            <sz val="9"/>
            <rFont val="Tahoma"/>
            <family val="2"/>
          </rPr>
          <t>ไม่คำนวณคะแนนตัวบ่งชี้ที่ 8 เนื่องจากประเมินระดับมหาวิทยาลัย</t>
        </r>
      </text>
    </comment>
    <comment ref="L12" authorId="0">
      <text>
        <r>
          <rPr>
            <sz val="10"/>
            <rFont val="Tahoma"/>
            <family val="2"/>
          </rPr>
          <t>ต้องปรับแก้ไขสูตรคะแนนผลการประเมินองค์ประกอบที่ 2 ในกรณีที่ตัวบ่งชี้ที่ 2 พิจารณาคะแนนในเงื่อนไขที่ 1</t>
        </r>
      </text>
    </comment>
    <comment ref="L9" authorId="0">
      <text>
        <r>
          <rPr>
            <sz val="10"/>
            <rFont val="Tahoma"/>
            <family val="2"/>
          </rPr>
          <t>ต้องปรับแก้ไขสูตรคะแนนผลการประเมินภาพรวม กรณีที่องค์ประกอบที่ 2 พิจารณาคะแนนในเงื่อนไขที่ 1 ในตัวบ่งชี้ที่ 2</t>
        </r>
      </text>
    </comment>
  </commentList>
</comments>
</file>

<file path=xl/sharedStrings.xml><?xml version="1.0" encoding="utf-8"?>
<sst xmlns="http://schemas.openxmlformats.org/spreadsheetml/2006/main" count="1385" uniqueCount="591">
  <si>
    <t>รายการ</t>
  </si>
  <si>
    <t>หน่วย</t>
  </si>
  <si>
    <t>คณะ</t>
  </si>
  <si>
    <t>ตัวบ่งชี้</t>
  </si>
  <si>
    <t xml:space="preserve">องค์ประกอบที่ 2 </t>
  </si>
  <si>
    <t>คน</t>
  </si>
  <si>
    <t>ข้อ</t>
  </si>
  <si>
    <t>เป้าหมาย (ปีการศึกษา)</t>
  </si>
  <si>
    <t xml:space="preserve">ประเมินตามเป้าหมาย </t>
  </si>
  <si>
    <t>ประเมินพัฒนาการ</t>
  </si>
  <si>
    <t xml:space="preserve">หมายเหตุ </t>
  </si>
  <si>
    <t>(เช่น เหตุผลของการประเมินที่ต่างจากที่ระบุใน SAR)</t>
  </si>
  <si>
    <t>หน่วยงาน</t>
  </si>
  <si>
    <t>กรรมการ</t>
  </si>
  <si>
    <t>ตัวตั้ง</t>
  </si>
  <si>
    <t>ตัวหาร</t>
  </si>
  <si>
    <t>องค์ประกอบที่ 7 การบริหารและจัดการ</t>
  </si>
  <si>
    <t>องค์ประกอบที่ 9  ระบบและกลไกการประกันคุณภาพ</t>
  </si>
  <si>
    <t>สัดส่วน</t>
  </si>
  <si>
    <t>ร้อยละ</t>
  </si>
  <si>
    <t xml:space="preserve">องค์ประกอบที่ 4 </t>
  </si>
  <si>
    <t>บาท</t>
  </si>
  <si>
    <t>ผลการดำเนินงาน</t>
  </si>
  <si>
    <t xml:space="preserve">ผลลัพธ์ </t>
  </si>
  <si>
    <t>(% หรือสัดส่วน)</t>
  </si>
  <si>
    <t>ผลลัพธ์</t>
  </si>
  <si>
    <t xml:space="preserve"> (% หรือสัดส่วน)</t>
  </si>
  <si>
    <t>องค์ประกอบคุณภาพ</t>
  </si>
  <si>
    <t>ความหมายผลประเมิน</t>
  </si>
  <si>
    <t>ปัจจัยนำเข้า</t>
  </si>
  <si>
    <t>กระบวนการ</t>
  </si>
  <si>
    <t>ผลผลิต</t>
  </si>
  <si>
    <t>รวม</t>
  </si>
  <si>
    <t>คณะวิชา</t>
  </si>
  <si>
    <t>สรุปผลการประเมินคุณภาพภายในตามมาตรฐานการอุดมศึกษา (ป. 3)</t>
  </si>
  <si>
    <t>มาตรฐาน</t>
  </si>
  <si>
    <t>มาตรฐานที่ 2 ด้านการบริหารจัดการการอุดมศึกษา</t>
  </si>
  <si>
    <t xml:space="preserve">   มาตรฐานที่ 2 ก  ด้านธรรมาภิบาลของการบริหารการอุดมศึกษา</t>
  </si>
  <si>
    <t>1. ด้านนิสิตและผู้มีส่วนได้ส่วนเสีย</t>
  </si>
  <si>
    <t>2. ด้านกระบวนการภายใน</t>
  </si>
  <si>
    <t>3. ด้านการเงิน</t>
  </si>
  <si>
    <t>4. ด้านบุคลากรและการเรียนรู้และนวัตกรรม</t>
  </si>
  <si>
    <t>/ = บรรลุ</t>
  </si>
  <si>
    <t>x = ไม่บรรลุ</t>
  </si>
  <si>
    <t>/ = มีพัฒนาการ</t>
  </si>
  <si>
    <t>x = ไม่มีพัฒนาการ</t>
  </si>
  <si>
    <t>ช่อง</t>
  </si>
  <si>
    <t>คะแนน</t>
  </si>
  <si>
    <t>กระบวนการพัฒนาแผน</t>
  </si>
  <si>
    <t>อาจารย์ประจำที่มีวุฒิปริญญาเอก</t>
  </si>
  <si>
    <t>อาจารย์ประจำที่ดำรงตำแหน่งทางวิชาการ</t>
  </si>
  <si>
    <t>ระบบการพัฒนาคณาจารย์และบุคลากรสายสนับสนุน</t>
  </si>
  <si>
    <t>ห้องสมุด อุปกรณ์การศึกษา และสภาพแวดล้อมการเรียนรู้</t>
  </si>
  <si>
    <t>ระบบและกลไกการจัดการเรียนการสอน</t>
  </si>
  <si>
    <t>ระบบและกลไกการพัฒนาสัมฤทธิผลการเรียนตามคุณลักษณะของบัณฑิต</t>
  </si>
  <si>
    <t>ระดับความสำเร็จของการเสริมสร้างคุณธรรมจริยธรรมที่จัดให้กับนิสิต</t>
  </si>
  <si>
    <t>องค์ประกอบที่ 3  กิจกรรมการพัฒนานิสิต</t>
  </si>
  <si>
    <t>ระบบและกลไกการให้คำปรึกษาและบริการด้านข้อมูลข่าวสาร</t>
  </si>
  <si>
    <t>ระบบและกลไกการส่งเสริมกิจกรรมนิสิต</t>
  </si>
  <si>
    <t>ระบบการให้คำปรึกษาวิชาการระดับปริญญาตรี</t>
  </si>
  <si>
    <t>ระบบและกลไกการพัฒนางานวิจัยหรืองานสร้างสรรค์</t>
  </si>
  <si>
    <t>ระบบและกลไกการจัดการความรู้จากงานวิจัยหรืองานสร้างสรรค์</t>
  </si>
  <si>
    <t>เงินสนับสนุนงานวิจัยหรืองานสร้างสรรค์ต่อจำนวนอาจารย์ประจำและนักวิจัยประจำ</t>
  </si>
  <si>
    <t>ระบบและกลไกการบริการทางวิชาการแก่สังคม</t>
  </si>
  <si>
    <t>องค์ประกอบที่ 6 ระบบและกลไกการทำนุบำรุงศิลปะและวัฒนธรรม</t>
  </si>
  <si>
    <t>การพัฒนาสถาบันสู่สถาบันเรียนรู้</t>
  </si>
  <si>
    <t>ระบบสารสนเทศเพื่อการบริหารและการตัดสินใจ</t>
  </si>
  <si>
    <t>ระบบบริหารความเสี่ยง</t>
  </si>
  <si>
    <t>องค์ประกอบที่ 8  ระบบและกลไกการเงินและงบประมาณ</t>
  </si>
  <si>
    <t>ระบบและกลไกการเงินและงบประมาณ</t>
  </si>
  <si>
    <t>ระบบและกลไกการประกันคุณภาพการศึกษาภายใน</t>
  </si>
  <si>
    <t xml:space="preserve">องค์ประกอบที่ 1 </t>
  </si>
  <si>
    <t>หลักสูตร</t>
  </si>
  <si>
    <t>เรื่อง</t>
  </si>
  <si>
    <t>FTES</t>
  </si>
  <si>
    <t xml:space="preserve">องค์ประกอบที่ 3 </t>
  </si>
  <si>
    <t xml:space="preserve">องค์ประกอบที่ 5 </t>
  </si>
  <si>
    <t xml:space="preserve">องค์ประกอบที่ 6 </t>
  </si>
  <si>
    <t>องค์ประกอบที่ 8</t>
  </si>
  <si>
    <t xml:space="preserve">องค์ประกอบที่ 9 </t>
  </si>
  <si>
    <r>
      <t>ê</t>
    </r>
    <r>
      <rPr>
        <sz val="14"/>
        <rFont val="Cordia New"/>
        <family val="2"/>
      </rPr>
      <t xml:space="preserve"> กระบวนการพัฒนาแผน</t>
    </r>
  </si>
  <si>
    <r>
      <t>ê</t>
    </r>
    <r>
      <rPr>
        <sz val="14"/>
        <rFont val="Cordia New"/>
        <family val="2"/>
      </rPr>
      <t xml:space="preserve"> ระบบและกลไกการพัฒนาและบริหารหลักสูตร</t>
    </r>
  </si>
  <si>
    <r>
      <t>ê</t>
    </r>
    <r>
      <rPr>
        <sz val="14"/>
        <rFont val="Cordia New"/>
        <family val="2"/>
      </rPr>
      <t xml:space="preserve"> ระบบการพัฒนาคณาจารย์และบุคลากรสายสนับสนุน </t>
    </r>
  </si>
  <si>
    <r>
      <t>ê</t>
    </r>
    <r>
      <rPr>
        <sz val="14"/>
        <rFont val="Cordia New"/>
        <family val="2"/>
      </rPr>
      <t xml:space="preserve"> ห้องสมุด อุปกรณ์การศึกษา และสภาพแวดล้อมการเรียนรู้</t>
    </r>
  </si>
  <si>
    <r>
      <t>ê</t>
    </r>
    <r>
      <rPr>
        <sz val="14"/>
        <rFont val="Cordia New"/>
        <family val="2"/>
      </rPr>
      <t xml:space="preserve"> ระบบและกลไกการจัดการเรียนการสอน</t>
    </r>
  </si>
  <si>
    <r>
      <t>ê</t>
    </r>
    <r>
      <rPr>
        <sz val="14"/>
        <rFont val="Cordia New"/>
        <family val="2"/>
      </rPr>
      <t xml:space="preserve"> ระบบและกลไกการให้คำปรึกษาและบริการด้านข้อมูลข่าวสาร</t>
    </r>
  </si>
  <si>
    <r>
      <t>ê</t>
    </r>
    <r>
      <rPr>
        <sz val="14"/>
        <rFont val="Cordia New"/>
        <family val="2"/>
      </rPr>
      <t xml:space="preserve"> ระบบและกลไกการส่งเสริมกิจกรรมนิสิต</t>
    </r>
  </si>
  <si>
    <r>
      <t>ê</t>
    </r>
    <r>
      <rPr>
        <sz val="14"/>
        <rFont val="Cordia New"/>
        <family val="2"/>
      </rPr>
      <t xml:space="preserve"> ระบบการให้คำปรึกษาวิชาการระดับปริญญาตรี</t>
    </r>
  </si>
  <si>
    <r>
      <t>ê</t>
    </r>
    <r>
      <rPr>
        <sz val="14"/>
        <rFont val="Cordia New"/>
        <family val="2"/>
      </rPr>
      <t xml:space="preserve"> ระบบและกลไกการพัฒนางานวิจัยและงานสร้างสรรค์</t>
    </r>
  </si>
  <si>
    <r>
      <t>ê</t>
    </r>
    <r>
      <rPr>
        <sz val="14"/>
        <rFont val="Cordia New"/>
        <family val="2"/>
      </rPr>
      <t xml:space="preserve"> ระบบและกลไกการจัดการความรู้จากงานวิจัยหรืองานสร้างสรรค์</t>
    </r>
  </si>
  <si>
    <r>
      <t>ê</t>
    </r>
    <r>
      <rPr>
        <sz val="14"/>
        <rFont val="Cordia New"/>
        <family val="2"/>
      </rPr>
      <t xml:space="preserve"> ระบบและกลไกการบริการทางวิชาการแก่สังคม</t>
    </r>
  </si>
  <si>
    <r>
      <t>ê</t>
    </r>
    <r>
      <rPr>
        <sz val="14"/>
        <rFont val="Cordia New"/>
        <family val="2"/>
      </rPr>
      <t xml:space="preserve"> กระบวนการบริการทางวิชาการให้เกิดประโยชน์ต่อสังคม</t>
    </r>
  </si>
  <si>
    <r>
      <t>ê</t>
    </r>
    <r>
      <rPr>
        <sz val="14"/>
        <rFont val="Cordia New"/>
        <family val="2"/>
      </rPr>
      <t xml:space="preserve"> ระบบและกลไกการทำนุบำรุงศิลปะและวัฒนธรรม</t>
    </r>
  </si>
  <si>
    <r>
      <t>ê</t>
    </r>
    <r>
      <rPr>
        <sz val="14"/>
        <rFont val="Cordia New"/>
        <family val="2"/>
      </rPr>
      <t xml:space="preserve"> ภาวะผู้นำของคณะกรรมการประจำคณะและผู้บริหารทุกระดับของคณะ</t>
    </r>
  </si>
  <si>
    <r>
      <t>ê</t>
    </r>
    <r>
      <rPr>
        <sz val="14"/>
        <rFont val="Cordia New"/>
        <family val="2"/>
      </rPr>
      <t xml:space="preserve"> การพัฒนาสถาบันสู่สถาบันเรียนรู้</t>
    </r>
  </si>
  <si>
    <r>
      <t>ê</t>
    </r>
    <r>
      <rPr>
        <sz val="14"/>
        <rFont val="Cordia New"/>
        <family val="2"/>
      </rPr>
      <t xml:space="preserve"> ระบบสารสนเทศเพื่อการบริหารและการตัดสินใจ</t>
    </r>
  </si>
  <si>
    <r>
      <t>ê</t>
    </r>
    <r>
      <rPr>
        <sz val="14"/>
        <rFont val="Cordia New"/>
        <family val="2"/>
      </rPr>
      <t xml:space="preserve"> ระบบบริหารความเสี่ยง</t>
    </r>
  </si>
  <si>
    <r>
      <t>ê</t>
    </r>
    <r>
      <rPr>
        <sz val="14"/>
        <rFont val="Cordia New"/>
        <family val="2"/>
      </rPr>
      <t xml:space="preserve"> ระบบและกลไกการเงินและงบประมาณ</t>
    </r>
  </si>
  <si>
    <r>
      <t></t>
    </r>
    <r>
      <rPr>
        <sz val="14"/>
        <rFont val="Cordia New"/>
        <family val="2"/>
      </rPr>
      <t xml:space="preserve"> งบประมาณสำหรับพัฒนาอาจารย์ทั้งในและต่างประเทศ</t>
    </r>
  </si>
  <si>
    <r>
      <t></t>
    </r>
    <r>
      <rPr>
        <sz val="14"/>
        <rFont val="Cordia New"/>
        <family val="2"/>
      </rPr>
      <t xml:space="preserve"> จำนวนบุคลากรประจำสายสนับสนุนทั้งหมด</t>
    </r>
  </si>
  <si>
    <t>เครื่อง</t>
  </si>
  <si>
    <t>ตารางกรอกข้อมูลพื้นฐาน (Common Data Set) สำหรับคณะวิชา ประจำปีการศึกษา 2553</t>
  </si>
  <si>
    <t>องค์ประกอบที่ 7</t>
  </si>
  <si>
    <t>โครงการ</t>
  </si>
  <si>
    <t>ระบบและกลไกการพัฒนาและบริหารหลักสูตร</t>
  </si>
  <si>
    <t>กระบวนการบริการทางวิชาการให้เกิดประโยชน์ต่อสังคม</t>
  </si>
  <si>
    <t>ระบบและกลไกการทำนุบำรุงศิลปะและวัฒนธรรม</t>
  </si>
  <si>
    <t>ภาวะผู้นำของคณะกรรมการประจำคณะและผู้บริหารทุกระดับของคณะ</t>
  </si>
  <si>
    <t>1 
(สมศ.)</t>
  </si>
  <si>
    <t>2 
(สมศ.)</t>
  </si>
  <si>
    <t>3 
(สมศ.)</t>
  </si>
  <si>
    <t>4 
(สมศ.)</t>
  </si>
  <si>
    <t>14
(สมศ.)</t>
  </si>
  <si>
    <t>บัณฑิตปริญญาตรีที่ได้งานทำหรือประกอบอาชีพอิสระ</t>
  </si>
  <si>
    <t>คุณภาพของบัณฑิตปริญญาตรี โท และเอกตามกรอบมาตรฐานคุณวุฒิอุดมศึกษาแห่งชาติ</t>
  </si>
  <si>
    <t>ผลงานของผู้สำเร็จการศึกษาระดับปริญญาโทที่ได้รับการตีพิมพ์หรือเผยแพร่</t>
  </si>
  <si>
    <t>ผลงานของผู้สำเร็จการศึกษาระดับปริญญาเอกที่ได้รับการตีพิมพ์หรือเผยแพร่</t>
  </si>
  <si>
    <t>การพัฒนาคณาจารย์</t>
  </si>
  <si>
    <t>7
(สมศ.)</t>
  </si>
  <si>
    <t>ผลงานวิชาการที่ได้รับการรับรองคุณภาพ</t>
  </si>
  <si>
    <t>5
(สมศ.)</t>
  </si>
  <si>
    <t>6
(สมศ.)</t>
  </si>
  <si>
    <t>งานวิจัยหรืองานสร้างสรรค์ที่ได้รับการตีพิมพ์เผยแพร่</t>
  </si>
  <si>
    <t>งานวิจัยที่นำไปใช้ประโยชน์</t>
  </si>
  <si>
    <t>8
(สมศ.)</t>
  </si>
  <si>
    <t>9
(สมศ.)</t>
  </si>
  <si>
    <t>18
(สมศ.)</t>
  </si>
  <si>
    <t>10
(สมศ.)</t>
  </si>
  <si>
    <t>ผลการเรียนรู้และเสริมสร้างความเข้มแข็งของชุมชนหรือองค์กรภายนอก</t>
  </si>
  <si>
    <t>ผลการชี้นำและ/หรือแก้ปัญหาสังคมในด้านต่างๆ ของสถาบัน</t>
  </si>
  <si>
    <t>การส่งเสริมและสนับสนุนด้านศิลปะและวัฒนธรรม</t>
  </si>
  <si>
    <t xml:space="preserve">ผลการประเมิน (คะแนนเต็ม 5) </t>
  </si>
  <si>
    <t>ผลการดำเนินงาน (รอบปีการศึกษา, ปีงบประมาณ, ปีปฏิทิน)</t>
  </si>
  <si>
    <t>การนำความรู้และประสบการณ์จากการให้บริการวิชาการมาใช้ในการพัฒนาการเรียนการสอนหรือการวิจัย</t>
  </si>
  <si>
    <t xml:space="preserve"> - ใช้กับการเรียนการสอน ไม่น้อยกว่าร้อยละ 10</t>
  </si>
  <si>
    <t>- ใช้กับการวิจัย ไม่น้อยกว่าร้อยละ 10</t>
  </si>
  <si>
    <t>- ใช้กับการขยายผลสู่การปรับปรุงรายวิชา ไม่น้อยกว่าร้อยละ 5</t>
  </si>
  <si>
    <t>- ใช้กับการขยายผลสู่การเปิดรายวิชาใหม่ ไม่น้อยกว่าร้อยละ 5</t>
  </si>
  <si>
    <t>- ใช้กับการต่อยอดสู่หนังสือหรือตำรา ไม่น้อยกว่าร้อยละ 5</t>
  </si>
  <si>
    <t>องค์ประกอบที่ 1  ปรัชญา ปณิธาน วัตถุประสงค์ และแผนดำเนินการ (สกอ.) 1 ตัวบ่งชี้</t>
  </si>
  <si>
    <t>ภาควิชา</t>
  </si>
  <si>
    <t>ผลการประเมิน</t>
  </si>
  <si>
    <t>เฉลี่ยรวมทุกตัวบ่งชี้ของทุกมุมมอง</t>
  </si>
  <si>
    <t>สรุปผลการประเมินคุณภาพภายในตามมุมมองด้านการบริหารจัดการ (ป. 4)</t>
  </si>
  <si>
    <t xml:space="preserve">    - ระดับปริญญาเอก</t>
  </si>
  <si>
    <t xml:space="preserve">    - ระดับปริญญาตรี </t>
  </si>
  <si>
    <t xml:space="preserve">    - ระดับ ป.บัณฑิต</t>
  </si>
  <si>
    <t xml:space="preserve">    - ระดับปริญญาเอก </t>
  </si>
  <si>
    <t xml:space="preserve">    - ระดับปริญญาตรี</t>
  </si>
  <si>
    <t xml:space="preserve">    - ระดับปริญญาโท</t>
  </si>
  <si>
    <t xml:space="preserve">    - การประชุมวิชาการระดับชาติ</t>
  </si>
  <si>
    <t xml:space="preserve">     - การประชุมวิชาการระดับนานาชาติ</t>
  </si>
  <si>
    <t xml:space="preserve">     - การประชุมวิชาการระดับชาติ</t>
  </si>
  <si>
    <t xml:space="preserve">    - การประชุมวิชาการระดับนานาชาติ</t>
  </si>
  <si>
    <t xml:space="preserve">    - วารสารวิชาการระดับชาติ</t>
  </si>
  <si>
    <t xml:space="preserve">    - วารสารวิชาการระดับนานาชาติที่ไม่อยู่ในฐานข้อมูลสากล</t>
  </si>
  <si>
    <t xml:space="preserve">     - ระดับปริญญาตรี (ภาคปกติ)</t>
  </si>
  <si>
    <t xml:space="preserve">     - ระดับปริญญาตรี (ภาคพิเศษ)</t>
  </si>
  <si>
    <t xml:space="preserve">     - ระดับ ป.บัณฑิต (ภาคปกติ)</t>
  </si>
  <si>
    <t xml:space="preserve">     - ระดับ ป.บัณฑิต (ภาคพิเศษ)</t>
  </si>
  <si>
    <t xml:space="preserve">     - ระดับปริญญาโท (ภาคปกติ)</t>
  </si>
  <si>
    <t xml:space="preserve">     - ระดับปริญญาโท (ภาคพิเศษ)</t>
  </si>
  <si>
    <t xml:space="preserve">     - ระดับปริญญาเอก (ภาคปกติ)</t>
  </si>
  <si>
    <t xml:space="preserve">     - ระดับปริญญาเอก (ภาคพิเศษ)</t>
  </si>
  <si>
    <t xml:space="preserve">     - ระดับปริญญาตรี (ภาคปกติ)</t>
  </si>
  <si>
    <t xml:space="preserve">     - ระดับปริญญาตรี (ภาคพิเศษ)</t>
  </si>
  <si>
    <t xml:space="preserve">     - ระดับ ป.บัณฑิต (ภาคปกติ)</t>
  </si>
  <si>
    <t xml:space="preserve">     - ระดับ ป.บัณฑิต (ภาคพิเศษ)</t>
  </si>
  <si>
    <t xml:space="preserve">     - ระดับปริญญาโท (ภาคปกติ)</t>
  </si>
  <si>
    <t xml:space="preserve">     - ระดับปริญญาโท (ภาคพิเศษ)</t>
  </si>
  <si>
    <t xml:space="preserve">     - ระดับปริญญาเอก (ภาคปกติ)</t>
  </si>
  <si>
    <t xml:space="preserve">     - ระดับปริญญาเอก (ภาคพิเศษ)</t>
  </si>
  <si>
    <t xml:space="preserve">      -  ผลการประเมินกิจกรรมบำเพ็ญประโยชน์หรือรักษาสิ่งแวดล้อม</t>
  </si>
  <si>
    <t xml:space="preserve">      -  ผลการประเมินกิจกรรมกีฬาและการส่งเสริมสุขภาพ</t>
  </si>
  <si>
    <t xml:space="preserve">      -  ผลการประเมินกิจกรรมวิชาการที่ส่งเสริมคุณลักษณะบัณฑิตที่พึงประสงค์</t>
  </si>
  <si>
    <t xml:space="preserve">      -  ผลการประเมินกิจกรรมเสริมสร้างคุณธรรมและจริยธรรม</t>
  </si>
  <si>
    <t xml:space="preserve">      -  ผลการประเมินกิจกรรมส่งเสริมศิลปะและวัฒนธรรม</t>
  </si>
  <si>
    <t xml:space="preserve">      - ในประเทศ</t>
  </si>
  <si>
    <t xml:space="preserve">      - ต่างประเทศ</t>
  </si>
  <si>
    <t xml:space="preserve">      -  บูรณาการร่วมกับการเรียนการสอน</t>
  </si>
  <si>
    <t xml:space="preserve">      -  บูรณาการร่วมกับกิจกรรมนิสิต</t>
  </si>
  <si>
    <t xml:space="preserve">      -  บูรณาการร่วมกับการเรียนการสอนและกิจกรรมนิสิต</t>
  </si>
  <si>
    <t xml:space="preserve">      -  ระดับชาติ</t>
  </si>
  <si>
    <t xml:space="preserve">      -  ระดับภูมิภาค</t>
  </si>
  <si>
    <t xml:space="preserve">      -  ระดับนานาชาติ</t>
  </si>
  <si>
    <t>องค์ประกอบที่ 2  การผลิตบัณฑิต (สกอ.) 8 ตัวบ่งชี้</t>
  </si>
  <si>
    <t>สกอ.</t>
  </si>
  <si>
    <t>สมศ.</t>
  </si>
  <si>
    <t>-</t>
  </si>
  <si>
    <t xml:space="preserve">มาตรฐานที่ 1 ด้านคุณภาพบัณฑิต </t>
  </si>
  <si>
    <t xml:space="preserve">   มาตรฐานที่ 2 ข ด้านพันธกิจของการบริหารการอุดมศึกษา </t>
  </si>
  <si>
    <t xml:space="preserve">มาตรฐานที่ 3 ด้านการสร้างและพัฒนาสังคมฐานความรู้และสังคมแห่งการเรียนรู้ </t>
  </si>
  <si>
    <t>เฉลี่ยรวมทุกตัวบ่งชี้ของทุกมาตรฐาน (สกอ.)</t>
  </si>
  <si>
    <t xml:space="preserve">องค์ประกอบที่ 1  ปรัชญา ปณิธาน วัตถุประสงค์ และแผนดำเนินการ  </t>
  </si>
  <si>
    <t xml:space="preserve">องค์ประกอบที่ 2  การผลิตบัณฑิต </t>
  </si>
  <si>
    <t xml:space="preserve">องค์ประกอบที่ 3  กิจกรรมการพัฒนานิสิต </t>
  </si>
  <si>
    <t xml:space="preserve">องค์ประกอบที่ 5 การบริการทางวิชาการแก่สังคม </t>
  </si>
  <si>
    <t xml:space="preserve">องค์ประกอบที่ 4 การวิจัย </t>
  </si>
  <si>
    <t>เฉลี่ยรวมทุกตัวบ่งชี้ของทุกองค์ประกอบ</t>
  </si>
  <si>
    <t>องค์ประกอบที่ 8 ระบบและกลไกการเงินและงบประมาณ</t>
  </si>
  <si>
    <t xml:space="preserve">องค์ประกอบที่ 9 ระบบและกลไกการประกันคุณภาพ </t>
  </si>
  <si>
    <t xml:space="preserve">องค์ประกอบที่ 7 การบริหารและจัดการ </t>
  </si>
  <si>
    <t>มาตรฐานสถาบันอุดมศึกษา</t>
  </si>
  <si>
    <t>1. มาตรฐานด้านศักยภาพและความพร้อมในการจัดการศึกษา</t>
  </si>
  <si>
    <t xml:space="preserve">   1) ด้านกายภาพ</t>
  </si>
  <si>
    <t xml:space="preserve">   2) ด้านวิชาการ</t>
  </si>
  <si>
    <t xml:space="preserve">   3) ด้านการเงิน</t>
  </si>
  <si>
    <t xml:space="preserve">   4) ด้านการบริหารจัดการ</t>
  </si>
  <si>
    <t>2. มาตรฐานด้านการดำเนินการตามภารกิจของสถาบันอุดมศึกษา</t>
  </si>
  <si>
    <t xml:space="preserve">   1) ด้านการผลิตบัณฑิต</t>
  </si>
  <si>
    <t xml:space="preserve">   2) ด้านการวิจัย</t>
  </si>
  <si>
    <t xml:space="preserve">   3) ด้านการให้บริการทางวิชาการแก่สังคม</t>
  </si>
  <si>
    <t xml:space="preserve">   4) ด้านการทำนุบำรุงศิลปะและวัฒนธรรม</t>
  </si>
  <si>
    <t>เฉลี่ยรวมทุกตัวบ่งชี้ของทุกมาตรฐานสถาบันอุดมศึกษา</t>
  </si>
  <si>
    <t>มุมมองด้านการบริหารจัดการ</t>
  </si>
  <si>
    <t>องค์ประกอบที่ 2  การผลิตบัณฑิต (สมศ.) 5 ตัวบ่งชี้</t>
  </si>
  <si>
    <t>องค์ประกอบที่ 4  การวิจัย (สกอ.) 3 ตัวบ่งชี้</t>
  </si>
  <si>
    <t>องค์ประกอบที่ 4  การวิจัย (สมศ.) 3 ตัวบ่งชี้</t>
  </si>
  <si>
    <t>องค์ประกอบที่ 5  การบริการทางวิชาการแก่สังคม (สกอ.) 2 ตัวบ่งชี้</t>
  </si>
  <si>
    <t>องค์ประกอบที่ 6 ระบบและกลไกการทำนุบำรุงศิลปะและวัฒนธรรม (สกอ.) 1 ตัวบ่งชี้</t>
  </si>
  <si>
    <t>องค์ประกอบที่ 6 ระบบและกลไกการทำนุบำรุงศิลปะและวัฒนธรรม (สมศ.) 1 ตัวบ่งชี้</t>
  </si>
  <si>
    <t>คะแนนเฉลี่ยภาพรวมตามตัวบ่งชี้ของ สกอ.+ มก. (24 ตัวบ่งชี้)</t>
  </si>
  <si>
    <r>
      <t>ê</t>
    </r>
    <r>
      <rPr>
        <sz val="14"/>
        <rFont val="Cordia New"/>
        <family val="2"/>
      </rPr>
      <t xml:space="preserve"> ระบบและกลไกการพัฒนาสัมฤทธิผลการเรียนตามคุณลักษณะของบัณฑิต</t>
    </r>
  </si>
  <si>
    <t>ร้อยละ (เงื่อนไข 1)</t>
  </si>
  <si>
    <t>ผลต่างค่าร้อยละ(เงื่อนไข 2)</t>
  </si>
  <si>
    <r>
      <t></t>
    </r>
    <r>
      <rPr>
        <sz val="14"/>
        <rFont val="Cordia New"/>
        <family val="2"/>
      </rPr>
      <t xml:space="preserve"> จำนวนบุคลากรประจำสายสนับสนุนที่ได้รับการพัฒนาความรู้และทักษะวิชาชีพ</t>
    </r>
  </si>
  <si>
    <t xml:space="preserve">    - ตัวบ่งชี้ตามพันธกิจด้านการผลิตบัณฑิต</t>
  </si>
  <si>
    <t xml:space="preserve">    - ตัวบ่งชี้ตามพันธกิจด้านการวิจัย</t>
  </si>
  <si>
    <t xml:space="preserve">    - ตัวบ่งชี้ตามพันธกิจด้านการบริการทางวิชาการแก่สังคม</t>
  </si>
  <si>
    <t xml:space="preserve">    - ตัวบ่งชี้ตามพันธกิจด้านทำนุบำรุงศิลปะและวัฒนธรรม</t>
  </si>
  <si>
    <r>
      <t>ê</t>
    </r>
    <r>
      <rPr>
        <sz val="14"/>
        <rFont val="Cordia New"/>
        <family val="2"/>
      </rPr>
      <t xml:space="preserve"> ระดับความสำเร็จของการเสริมสร้างคุณธรรมจริยธรรมที่จัดให้กับนิสิต</t>
    </r>
  </si>
  <si>
    <t xml:space="preserve">       * จากคณะ</t>
  </si>
  <si>
    <t xml:space="preserve">       * จากสถาบันวิจัยและพัฒนาแห่งมหาวิทยาลัยเกษตรศาสตร์</t>
  </si>
  <si>
    <t>สรุปผลการประเมินคุณภาพภายในตามมาตรฐานสถาบันอุดมศึกษา (ป. 5)</t>
  </si>
  <si>
    <t>ประชุมวิชาการระดับชาติ</t>
  </si>
  <si>
    <t>จำนวน</t>
  </si>
  <si>
    <t>ประชุมวิชาการระดับนานาชาติ</t>
  </si>
  <si>
    <t>วารสารวิชาการระดับชาติในฐานข้อมูลTCI</t>
  </si>
  <si>
    <t>วารสารวิชาการระดับชาติที่สกอ.รับรอง</t>
  </si>
  <si>
    <t>วารสารวิชาการระดับนานาชาติที่สกอ.รับรอง (ไม่รวม ISI)</t>
  </si>
  <si>
    <t>วารสารวิชาการระดับนานาชาติในฐานข้อมูล ISI</t>
  </si>
  <si>
    <t>จัดนิทรรศการระดับสถาบันหรือจังหวัด</t>
  </si>
  <si>
    <t>จัดนิทรรศการระดับชาติ</t>
  </si>
  <si>
    <t>จัดนิทรรศการระดับความร่วมมือระหว่างประเทศ</t>
  </si>
  <si>
    <t>จัดนิทรรศการระดับภูมิภาคอาเซียน</t>
  </si>
  <si>
    <t>จัดนิทรรศการระดับนานาชาติ</t>
  </si>
  <si>
    <t>บทความวิชาการตีพิมพ์ในวารสารระดับชาติ</t>
  </si>
  <si>
    <t>บทความวิชาการตีพิมพ์ในวารสารระดับนานาชาติ</t>
  </si>
  <si>
    <t>ตำราหรือหนังสือที่ตรวจอ่านโดยผู้ทรงคุณวุฒิ</t>
  </si>
  <si>
    <t>ตำราหรือหนังสือที่ใช้ในการขอผลงานทางวิชาการ</t>
  </si>
  <si>
    <r>
      <rPr>
        <b/>
        <sz val="10"/>
        <rFont val="Cordia New"/>
        <family val="2"/>
      </rPr>
      <t xml:space="preserve">    -  </t>
    </r>
    <r>
      <rPr>
        <b/>
        <sz val="14"/>
        <rFont val="Cordia New"/>
        <family val="2"/>
      </rPr>
      <t>ระดับปริญญาโทที่เปิดสอนทั้งหมด</t>
    </r>
  </si>
  <si>
    <r>
      <t></t>
    </r>
    <r>
      <rPr>
        <b/>
        <sz val="14"/>
        <rFont val="Cordia New"/>
        <family val="2"/>
      </rPr>
      <t xml:space="preserve"> จำนวนหลักสูตรที่เปิดสอนทั้งหมด</t>
    </r>
  </si>
  <si>
    <t xml:space="preserve">        - ระดับปริญญาโทที่เปิดสอนเฉพาะแผน ก </t>
  </si>
  <si>
    <t xml:space="preserve">        - ระดับปริญญาโทที่เปิดสอนเฉพาะแผน ข </t>
  </si>
  <si>
    <t>รอบปีของการเก็บข้อมูล</t>
  </si>
  <si>
    <t>ปีงบประมาณ</t>
  </si>
  <si>
    <t>ข้อมูลอ้างอิงสำหรับ KPI</t>
  </si>
  <si>
    <t>1.1 ข้อ 3-5</t>
  </si>
  <si>
    <t>1.1 ข้อ 8</t>
  </si>
  <si>
    <t>2.1 ข้อ 3-8</t>
  </si>
  <si>
    <t>2.1 ข้อ 3-6</t>
  </si>
  <si>
    <t>ปีการศึกษา</t>
  </si>
  <si>
    <t>2.1 ข้อ 4-5</t>
  </si>
  <si>
    <t>2.1 ข้อ 8</t>
  </si>
  <si>
    <t xml:space="preserve">     - ระดับปริญญาโท แผน ก (ภาคปกติและภาคพิเศษ)</t>
  </si>
  <si>
    <t>2.1 ข้อ ค และ 2.5 ข้อ 1</t>
  </si>
  <si>
    <t xml:space="preserve">    -  ผลการประเมินจากความพึงพอใจของนายจ้างที่มีต่อผู้สำเร็จการศึกษาตามกรอบ TQF เฉลี่ย (คะแนนเต็ม 5)</t>
  </si>
  <si>
    <t>สมศ. 2</t>
  </si>
  <si>
    <t>2.3 และ สมศ. 14</t>
  </si>
  <si>
    <t>ชิ้นงาน</t>
  </si>
  <si>
    <t>สมศ. 3</t>
  </si>
  <si>
    <t xml:space="preserve">     - การจัดนิทรรศการ (Exhibition) หรือการจัดการแสดง (Performance) ระดับสถาบันหรือจังหวัด</t>
  </si>
  <si>
    <t xml:space="preserve">     - การจัดนิทรรศการ (Exhibition) หรือการจัดการแสดง (Performance) ระดับชาติ</t>
  </si>
  <si>
    <t xml:space="preserve">     - การจัดนิทรรศการ (Exhibition) หรือการจัดการแสดง (Performance) ระดับความร่วมมือระหว่างประเทศ</t>
  </si>
  <si>
    <t xml:space="preserve">     - การจัดนิทรรศการ (Exhibition) หรือการจัดการแสดง (Performance) ระดับภูมิภาคอาเซียน</t>
  </si>
  <si>
    <t xml:space="preserve">     - การจัดนิทรรศการ (Exhibition) หรือการจัดการแสดง (Performance) ระดับนานาชาติ (ทั้งในและนอกประเทศ)</t>
  </si>
  <si>
    <t>สมศ. 4</t>
  </si>
  <si>
    <t xml:space="preserve">     - วารสารวิชาการระดับนานาชาติที่อยู่ในฐานข้อมูลสากลอื่นๆ ที่ยอมรับในศาสตร์นั้น นอกเหนือจากฐานข้อมูล ISI</t>
  </si>
  <si>
    <t xml:space="preserve">     - วารสารวิชาการระดับนานาชาติที่อยู่ในฐานข้อมูลสากล ISI</t>
  </si>
  <si>
    <t xml:space="preserve">       - จำนวน Notebook และ Mobile Device ต่างๆ ของนิสิตที่มีการลงทะเบียนการใช้ Wi-Fi กับสถาบัน</t>
  </si>
  <si>
    <t>2.5 ข้อ 1</t>
  </si>
  <si>
    <t>2.5 ข้อ 6</t>
  </si>
  <si>
    <t>คะแนน (เทียบจากคะแนนเต็ม 5)</t>
  </si>
  <si>
    <t>2.6 ข้อ 6</t>
  </si>
  <si>
    <t>2.6 ข้อ 2</t>
  </si>
  <si>
    <t>2.6 ข้อ 3</t>
  </si>
  <si>
    <t>2.6 ข้อ 4</t>
  </si>
  <si>
    <t>2.6 ข้อ 5</t>
  </si>
  <si>
    <t>2.8 ข้อ 3</t>
  </si>
  <si>
    <t>2.8 ข้อ 4</t>
  </si>
  <si>
    <t>2.8 ข้อ 5</t>
  </si>
  <si>
    <t>กิจกรรม</t>
  </si>
  <si>
    <t>3.2 ข้อ 3</t>
  </si>
  <si>
    <t xml:space="preserve">    - จำนวนกิจกรรมวิชาการที่ส่งเสริมคุณลักษณะบัณฑิตที่พึงประสงค์</t>
  </si>
  <si>
    <t xml:space="preserve">    - จำนวนกิจกรรมกีฬาหรือการส่งเสริมสุขภาพ</t>
  </si>
  <si>
    <t xml:space="preserve">    - จำนวนกิจกรรมบำเพ็ญประโยชน์และรักษาสิ่งแวดล้อม</t>
  </si>
  <si>
    <t xml:space="preserve">    - จำนวนกิจกรรมสร้างเสริมคุณธรรมและจริยธรรม</t>
  </si>
  <si>
    <t xml:space="preserve">    -  จำนวนกิจกรรมส่งเสริมศิลปะและวัฒนธรรม</t>
  </si>
  <si>
    <t xml:space="preserve">    - จำนวนกิจกรรมการจัดบริการให้คำปรึกษาทางวิชาการและแนะแนวทางการใช้ชีวิตแก่นิสิต</t>
  </si>
  <si>
    <t xml:space="preserve">    - จำนวนกิจกรรมการจัดบริการข้อมูลข่าวสารที่เป็นประโยชน์ต่อนิสิต</t>
  </si>
  <si>
    <t xml:space="preserve">    - จำนวนกิจกรรมเพื่อพัฒนาประสบการณ์ทางวิชาการและวิชาชีพแก่นิสิต</t>
  </si>
  <si>
    <t xml:space="preserve">    - จำนวนกิจกรรมการจัดบริการข้อมูลข่าวสารที่เป็นประโยชน์ต่อศิษย์เก่า</t>
  </si>
  <si>
    <t xml:space="preserve">    - จำนวนกิจกรรมเพื่อพัฒนาความรู้และประสบการณ์ให้ศิษย์เก่า</t>
  </si>
  <si>
    <t>3.1 ข้อ 1 - 5</t>
  </si>
  <si>
    <t xml:space="preserve">      -  ผลการประเมินคุณภาพการจัดบริการให้คำปรึกษาทางวิชาการและแนะแนวการใช้ชีวิตแก่นิสิต</t>
  </si>
  <si>
    <t xml:space="preserve">      -  ผลการประเมินคุณภาพการจัดบริการข้อมูลข่าวสารที่เป็นประโยชน์ต่อนิสิต</t>
  </si>
  <si>
    <t xml:space="preserve">      -  ผลการประเมินคุณภาพการจัดกิจกรรมเพื่อพัฒนาประสบการณ์ทางวิชาการและวิชาชีพแก่นิสิต</t>
  </si>
  <si>
    <t>3.1 ข้อ 6</t>
  </si>
  <si>
    <t xml:space="preserve">      -  ผลการประเมินคุณภาพการจัดบริการข้อมูลข่าวสารที่เป็นประโยชน์ต่อศิษย์เก่า</t>
  </si>
  <si>
    <t xml:space="preserve">      -  ผลการประเมินคุณภาพการจัดกิจกรรมเพื่อพัฒนาความรู้และประสบการณ์ให้ศิษย์เก่า</t>
  </si>
  <si>
    <t>4.1 ข้อ 3</t>
  </si>
  <si>
    <t>4.1 ข้อ 4 และ 4.3</t>
  </si>
  <si>
    <r>
      <t></t>
    </r>
    <r>
      <rPr>
        <b/>
        <sz val="14"/>
        <rFont val="Cordia New"/>
        <family val="2"/>
      </rPr>
      <t xml:space="preserve"> จำนวนเงินสนับสนุนงานวิจัยและงานสร้างสรรค์</t>
    </r>
  </si>
  <si>
    <t>ชื่อเรื่อง</t>
  </si>
  <si>
    <t>4.2 ข้อ 1</t>
  </si>
  <si>
    <t>4.2 ข้อ 4</t>
  </si>
  <si>
    <t>4.2 ข้อ 6</t>
  </si>
  <si>
    <t>สมศ. 5</t>
  </si>
  <si>
    <t>สมศ. 6</t>
  </si>
  <si>
    <t>สมศ. 7</t>
  </si>
  <si>
    <t xml:space="preserve">      - ตำราหรือหนังสือที่มีการตรวจอ่านโดยผู้ทรงคุณวุฒิ</t>
  </si>
  <si>
    <t xml:space="preserve">      - 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 หรือตำราหรือหนังสือที่มีคุณภาพสูงมีผู้ทรงคุณวุฒิตรวจอ่านตามเกณฑ์ขอตำแหน่งทางวิชาการ</t>
  </si>
  <si>
    <t>5.1 ข้อ 4</t>
  </si>
  <si>
    <t>5.1 ข้อ 2</t>
  </si>
  <si>
    <t>5.1 ข้อ 3</t>
  </si>
  <si>
    <t>5.2 ข้อ 1</t>
  </si>
  <si>
    <t>5.2 ข้อ 2</t>
  </si>
  <si>
    <t>สมศ. 9</t>
  </si>
  <si>
    <t>สมศ. 18</t>
  </si>
  <si>
    <t>6.1 ข้อ 2</t>
  </si>
  <si>
    <t>6.1 ข้อ 6</t>
  </si>
  <si>
    <t>สมศ. 10</t>
  </si>
  <si>
    <t xml:space="preserve">      -  ในประเทศ</t>
  </si>
  <si>
    <t xml:space="preserve">      -  ต่างประเทศ</t>
  </si>
  <si>
    <t xml:space="preserve">      -  เงินงบประมาณ</t>
  </si>
  <si>
    <t xml:space="preserve">      -  เงินรายได้</t>
  </si>
  <si>
    <t xml:space="preserve">      -  จำนวนครั้งของการจัดประชุมบุคลากรทั้งคณะ</t>
  </si>
  <si>
    <t>ครั้ง</t>
  </si>
  <si>
    <t>9.1 ข้อ 3</t>
  </si>
  <si>
    <t>9.1 ข้อ 9</t>
  </si>
  <si>
    <r>
      <t>ê</t>
    </r>
    <r>
      <rPr>
        <sz val="14"/>
        <rFont val="Cordia New"/>
        <family val="2"/>
      </rPr>
      <t xml:space="preserve">  มีระบบและกลไกในการประกันคุณภาพการศึกษาภายใน</t>
    </r>
  </si>
  <si>
    <t>9.1 ข้อ 5</t>
  </si>
  <si>
    <t>สมศ. 15</t>
  </si>
  <si>
    <t xml:space="preserve">      -  ภาษาเกาหลีใต้</t>
  </si>
  <si>
    <t xml:space="preserve">      -  ภาษาเขมร</t>
  </si>
  <si>
    <t xml:space="preserve">      -  ภาษาจีนกลาง</t>
  </si>
  <si>
    <t xml:space="preserve">      -  ภาษาญี่ปุ่น</t>
  </si>
  <si>
    <t xml:space="preserve">      -  ภาษาทมิฬ</t>
  </si>
  <si>
    <t xml:space="preserve">      -  ภาษาไทย</t>
  </si>
  <si>
    <t xml:space="preserve">      -  ภาษาพม่า</t>
  </si>
  <si>
    <t xml:space="preserve">      -  ภาษาฟิลิปิโน</t>
  </si>
  <si>
    <t xml:space="preserve">      -  ภาษามลายู</t>
  </si>
  <si>
    <t xml:space="preserve">      -  ภาษามาเลย์</t>
  </si>
  <si>
    <t xml:space="preserve">      -  ภาษาลาว</t>
  </si>
  <si>
    <t xml:space="preserve">      -  ภาษาเวียดนาม</t>
  </si>
  <si>
    <t xml:space="preserve">      -  ภาษาอังกฤษ</t>
  </si>
  <si>
    <t xml:space="preserve">      -  ภาษาอินโดนีเซีย</t>
  </si>
  <si>
    <t xml:space="preserve">      -  ภาษาตามกฎหมายที่ใช้ในกลุ่มประเทศอาเซียนอื่นๆ</t>
  </si>
  <si>
    <t xml:space="preserve">      -  สอบผ่านเกณฑ์ฯ ภาษาเกาหลีใต้ที่กำหนด</t>
  </si>
  <si>
    <t xml:space="preserve">      -  สอบผ่านเกณฑ์ฯ ภาษาเขมรที่กำหนด</t>
  </si>
  <si>
    <t xml:space="preserve">      -  สอบผ่านเกณฑ์ฯ ภาษาจีนกลางที่กำหนด</t>
  </si>
  <si>
    <t xml:space="preserve">      -  สอบผ่านเกณฑ์ฯ ภาษาญี่ปุ่นที่กำหนด</t>
  </si>
  <si>
    <t xml:space="preserve">      -  สอบผ่านเกณฑ์ฯ ภาษาทมิฬที่กำหนด</t>
  </si>
  <si>
    <t xml:space="preserve">      -  สอบผ่านเกณฑ์ฯ ภาษาไทยที่กำหนด</t>
  </si>
  <si>
    <t xml:space="preserve">      -  สอบผ่านเกณฑ์ฯ ภาษาพม่าที่กำหนด</t>
  </si>
  <si>
    <t xml:space="preserve">      -  สอบผ่านเกณฑ์ฯ ภาษาฟิลิปิโนที่กำหนด</t>
  </si>
  <si>
    <t xml:space="preserve">      -  สอบผ่านเกณฑ์ฯ ภาษามลายูที่กำหนด</t>
  </si>
  <si>
    <t xml:space="preserve">      -  สอบผ่านเกณฑ์ฯ ภาษามาเลย์ที่กำหนด</t>
  </si>
  <si>
    <t xml:space="preserve">      -  สอบผ่านเกณฑ์ฯ ภาษาลาวที่กำหนด</t>
  </si>
  <si>
    <t xml:space="preserve">      -  สอบผ่านเกณฑ์ฯ ภาษาเวียดนามที่กำหนด</t>
  </si>
  <si>
    <t xml:space="preserve">      -  สอบผ่านเกณฑ์ฯ ภาษาอังกฤษที่กำหนด</t>
  </si>
  <si>
    <t xml:space="preserve">      -  สอบผ่านเกณฑ์ฯ ภาษาอินโดนีเซียที่กำหนด</t>
  </si>
  <si>
    <t xml:space="preserve">      -  สอบผ่านเกณฑ์ฯ ภาษาตามกฎหมายที่ใช้ในกลุ่มประเทศอาเซียนอื่นๆ </t>
  </si>
  <si>
    <t>ก.พ.ร. 4.1.3</t>
  </si>
  <si>
    <t xml:space="preserve">สมศ. 1 </t>
  </si>
  <si>
    <t>ผลการประเมินโดย Exit Exam</t>
  </si>
  <si>
    <t>ผลการประเมินจากนายจ้าง</t>
  </si>
  <si>
    <t xml:space="preserve">     - วารสารวิชาการระดับชาติ อยู่ในฐานข้อมูล TCI</t>
  </si>
  <si>
    <t xml:space="preserve">     - วารสารวิชาการระดับชาติที่ สกอ. รับรอง</t>
  </si>
  <si>
    <t>วารสารวิชาการระดับชาติที่ สกอ.รับรอง</t>
  </si>
  <si>
    <t>วารสารวิชาการระดับชาติในฐานข้อมูล TCI</t>
  </si>
  <si>
    <t>สมศ. 14</t>
  </si>
  <si>
    <t>ปีการศึกษา/ปีงบประมาณ/ปีปฏิทิน</t>
  </si>
  <si>
    <t>สรุปผลการประเมินคุณภาพภายในตามองค์ประกอบคุณภาพ 9 องค์ประกอบ (ป.2)</t>
  </si>
  <si>
    <r>
      <t></t>
    </r>
    <r>
      <rPr>
        <sz val="14"/>
        <rFont val="Cordia New"/>
        <family val="2"/>
      </rPr>
      <t xml:space="preserve"> จำนวนบทความวิจัยที่ได้รับอ้างอิงใน refereed journal หรือในฐานข้อมูล</t>
    </r>
  </si>
  <si>
    <r>
      <t></t>
    </r>
    <r>
      <rPr>
        <sz val="14"/>
        <rFont val="Cordia New"/>
        <family val="2"/>
      </rPr>
      <t xml:space="preserve"> จำนวนอาจารย์ประจำที่เข้าร่วมประชุมวิชาการ นำเสนอผลงานวิชาการ</t>
    </r>
  </si>
  <si>
    <r>
      <t></t>
    </r>
    <r>
      <rPr>
        <sz val="14"/>
        <rFont val="Cordia New"/>
        <family val="2"/>
      </rPr>
      <t xml:space="preserve"> จำนวนหลักสูตรที่ผ่านเกณฑ์ครบทุกตัวบ่งชี้</t>
    </r>
  </si>
  <si>
    <r>
      <t></t>
    </r>
    <r>
      <rPr>
        <sz val="14"/>
        <rFont val="Cordia New"/>
        <family val="2"/>
      </rPr>
      <t xml:space="preserve"> จำนวนหลักสูตรที่ผ่านเกณฑ์อย่างน้อยร้อยละ 80 ของตัวบ่งชี้ที่กำหนดในแต่ละปี</t>
    </r>
  </si>
  <si>
    <r>
      <t></t>
    </r>
    <r>
      <rPr>
        <b/>
        <sz val="14"/>
        <rFont val="Cordia New"/>
        <family val="2"/>
      </rPr>
      <t xml:space="preserve"> จำนวนหลักสูตรสาขาวิชาชีพทุกระดับการศึกษาที่มีความร่วมมือในการพัฒนาและบริหารหลักสูตรกับภาครัฐหรือภาคเอกชนที่เกี่ยวข้องกับวิชาชีพของหลักสูตร</t>
    </r>
  </si>
  <si>
    <t xml:space="preserve">    - ระดับปริญญาโทที่จบโดยแผน ก (ภาคปกติและภาคพิเศษ)</t>
  </si>
  <si>
    <t xml:space="preserve">    - ระดับปริญญาโทที่จบโดยแผน ข (ภาคปกติและภาคพิเศษ)</t>
  </si>
  <si>
    <r>
      <t></t>
    </r>
    <r>
      <rPr>
        <sz val="14"/>
        <rFont val="Cordia New"/>
        <family val="2"/>
      </rPr>
      <t xml:space="preserve"> ร้อยละของอาจารย์ประจำที่มีคุณวุฒิปริญญาเอกปีการศึกษาที่ผ่านมา (กรณีที่เลือกใช้เกณฑ์ประเมินเป็นค่าการเพิ่มขึ้นของร้อยละฯ)</t>
    </r>
  </si>
  <si>
    <r>
      <t></t>
    </r>
    <r>
      <rPr>
        <b/>
        <sz val="14"/>
        <rFont val="Cordia New"/>
        <family val="2"/>
      </rPr>
      <t xml:space="preserve"> ร้อยละของอาจารย์ประจำที่ดำรงตำแหน่ง ผศ. รศ. และ ศ. ปีการศึกษาที่ผ่านมา (กรณีที่เลือกใช้เกณฑ์ประเมินเป็นค่าการเพิ่มขึ้นของร้อยละฯ)</t>
    </r>
  </si>
  <si>
    <r>
      <t></t>
    </r>
    <r>
      <rPr>
        <b/>
        <sz val="14"/>
        <rFont val="Cordia New"/>
        <family val="2"/>
      </rPr>
      <t xml:space="preserve"> ร้อยละของอาจารย์ประจำที่ดำรงตำแหน่ง รศ. และ ศ. ปีการศึกษาที่ผ่านมา (กรณีที่เลือกใช้เกณฑ์ประเมินเป็นค่าการเพิ่มขึ้นของร้อยละฯ)</t>
    </r>
  </si>
  <si>
    <t xml:space="preserve">       - จำนวนคอมพิวเตอร์ที่จัดบริการให้นิสิต </t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</si>
  <si>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ผลการประเมินคุณภาพการให้บริการห้องสมุดและแหล่งเรียนรู้อื่นๆ ผ่านระบบเครือข่ายคอมพิวเตอร์ และมีการฝึกอบรมการใช้งานแก่นิสิตทุกปีการศึกษา</t>
    </r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</si>
  <si>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ผลการประเมินคุณภาพการให้บริการด้านกายภาพที่เหมาะสมต่อการจัดการเรียนการสอนและการพัฒนานิสิต อาทิ ห้องเรียน ห้องปฏิบัติการ อุปกรณ์การศึกษา และจุดเชื่อมต่ออินเตอร์เน็ตในระบบไร้สาย</t>
    </r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</si>
  <si>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ผลการประเมินคุณภาพการให้บริการสิ่งอำนวยความสะดวกที่จำเป็นอื่นๆ อาทิ งานทะเบียนนิสิตผ่านระบบเครือข่ายคอมพิวเตอร์ การบริการอนามัย และการรักษาพยาบาล การจัดการหรือจัดบริการด้านอาหารและสนามกีฬา</t>
    </r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</si>
  <si>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ผลการประเมินคุณภาพการให้บริการสาธารณูปโภคและรักษาความปลอดภัยของอาคาร ตลอดจนบริเวณโดยรอบ อาทิ ประปา ไฟฟ้า ระบบกำจัดของเสีย การจัดการขยะ รวมทั้งมีระบบและอุปกรณ์ป้องกันอัคคีภัยในบริเวณอาคารต่างๆ โดยเป็นไปตามกฎหมายที่เกี่ยวข้อง</t>
    </r>
  </si>
  <si>
    <r>
      <t></t>
    </r>
    <r>
      <rPr>
        <sz val="14"/>
        <rFont val="Cordia New"/>
        <family val="2"/>
      </rPr>
      <t xml:space="preserve"> จำนวนหลักสูตรที่มีรายละเอียดของรายวิชาและประสบการณ์ภาคสนาม (ถ้ามี) ก่อนการเปิดสอนในแต่ละภาคการศึกษาทุกรายวิชา</t>
    </r>
  </si>
  <si>
    <r>
      <t></t>
    </r>
    <r>
      <rPr>
        <sz val="14"/>
        <rFont val="Cordia New"/>
        <family val="2"/>
      </rPr>
      <t xml:space="preserve"> จำนวนหลักสูตรที่มีรายวิชาส่งเสริมทักษะการเรียนรู้ด้วยตนเอง และการให้ผู้เรียนได้เรียนรู้จากการปฏิบัติทั้งในและนอกห้องเรียนหรือจากการทำวิจัย</t>
    </r>
  </si>
  <si>
    <r>
      <t></t>
    </r>
    <r>
      <rPr>
        <sz val="14"/>
        <rFont val="Cordia New"/>
        <family val="2"/>
      </rPr>
      <t xml:space="preserve"> จำนวนหลักสูตรที่มีการให้ผู้มีประสบการณ์ทางวิชาการหรือวิชาชีพจากหน่วยงานหรือชุมชนภายนอกเข้ามามีส่วนร่วมในกระบวนการเรียนการสอน</t>
    </r>
  </si>
  <si>
    <r>
      <t></t>
    </r>
    <r>
      <rPr>
        <sz val="14"/>
        <rFont val="Cordia New"/>
        <family val="2"/>
      </rPr>
      <t xml:space="preserve"> จำนวนผลงานวิจัย และหรือนวัตกรรมการเรียนการสอนของคณาจารย์</t>
    </r>
  </si>
  <si>
    <r>
      <t></t>
    </r>
    <r>
      <rPr>
        <sz val="14"/>
        <rFont val="Cordia New"/>
        <family val="2"/>
      </rPr>
      <t xml:space="preserve"> จำนวนโครงการ/กิจกรรมที่จัดให้มีการแลกเปลี่ยนและเผยแพร่ผลงานวิจัยด้านการเรียนการสอนและนวัตกรรมทางการศึกษา</t>
    </r>
  </si>
  <si>
    <r>
      <t></t>
    </r>
    <r>
      <rPr>
        <sz val="14"/>
        <rFont val="Cordia New"/>
        <family val="2"/>
      </rPr>
      <t xml:space="preserve"> จำนวนโครงการหรือกิจกรรมส่งเสริมการพัฒนาพฤติกรรมด้านคุณธรรมจริยธรรม</t>
    </r>
  </si>
  <si>
    <r>
      <t></t>
    </r>
    <r>
      <rPr>
        <sz val="14"/>
        <rFont val="Cordia New"/>
        <family val="2"/>
      </rPr>
      <t xml:space="preserve"> จำนวนตัวบ่งชี้ด้านการพัฒนาพฤติกรรมด้านคุณธรรมจริยธรรม</t>
    </r>
  </si>
  <si>
    <r>
      <t></t>
    </r>
    <r>
      <rPr>
        <sz val="14"/>
        <rFont val="Cordia New"/>
        <family val="2"/>
      </rPr>
      <t xml:space="preserve"> จำนวนตัวบ่งชี้ด้านการพัฒนาพฤติกรรมด้านคุณธรรมจริยธรรมที่บรรลุเป้าหมาย</t>
    </r>
  </si>
  <si>
    <r>
      <t></t>
    </r>
    <r>
      <rPr>
        <sz val="14"/>
        <rFont val="Cordia New"/>
        <family val="2"/>
      </rPr>
      <t xml:space="preserve"> จำนวนนิสิตที่ได้รับการยกย่องชมเชย ประกาศเกียรติคุณด้านคุณธรรมจริยธรรม โดยหน่วยงานหรือองค์กรระดับชาติ</t>
    </r>
  </si>
  <si>
    <r>
      <t></t>
    </r>
    <r>
      <rPr>
        <sz val="14"/>
        <rFont val="Cordia New"/>
        <family val="2"/>
      </rPr>
      <t xml:space="preserve"> จำนวนกิจกรรมที่เกี่ยวกับนิสิตที่ได้รับการยกย่องชมเชย ประกาศเกียรติคุณด้านคุณธรรม จริยธรรม โดยหน่วยงานหรือองค์กรระดับชาติ</t>
    </r>
  </si>
  <si>
    <r>
      <t></t>
    </r>
    <r>
      <rPr>
        <sz val="14"/>
        <rFont val="Cordia New"/>
        <family val="2"/>
      </rPr>
      <t xml:space="preserve"> จำนวนกิจกรรมการให้คำปรึกษาและการจัดบริการ</t>
    </r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</si>
  <si>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</t>
    </r>
  </si>
  <si>
    <r>
      <t></t>
    </r>
    <r>
      <rPr>
        <sz val="14"/>
        <rFont val="Cordia New"/>
        <family val="2"/>
      </rPr>
      <t xml:space="preserve"> จำนวนกิจกรรมนิสิตที่มีการนำความรู้ด้านการประกันคุณภาพไปใช้ แยกตามประเภทกิจกรรม</t>
    </r>
  </si>
  <si>
    <r>
      <t></t>
    </r>
    <r>
      <rPr>
        <sz val="14"/>
        <rFont val="Cordia New"/>
        <family val="2"/>
      </rPr>
      <t xml:space="preserve"> ผลการประเมินคุณภาพการให้บริการนิสิต </t>
    </r>
  </si>
  <si>
    <r>
      <t></t>
    </r>
    <r>
      <rPr>
        <sz val="14"/>
        <rFont val="Cordia New"/>
        <family val="2"/>
      </rPr>
      <t xml:space="preserve"> จำนวนบุคลากรสายสนับสนุนที่เป็นนักวิจัยทั้งหมด</t>
    </r>
  </si>
  <si>
    <r>
      <t></t>
    </r>
    <r>
      <rPr>
        <sz val="14"/>
        <rFont val="Cordia New"/>
        <family val="2"/>
      </rPr>
      <t xml:space="preserve"> จำนวนนักวิจัยที่ลาศึกษาต่อ</t>
    </r>
  </si>
  <si>
    <r>
      <t></t>
    </r>
    <r>
      <rPr>
        <sz val="14"/>
        <rFont val="Cordia New"/>
        <family val="2"/>
      </rPr>
      <t xml:space="preserve"> จำนวนอาจารย์ประจำและนักวิจัยประจำ</t>
    </r>
    <r>
      <rPr>
        <b/>
        <sz val="14"/>
        <rFont val="Cordia New"/>
        <family val="2"/>
      </rPr>
      <t>ที่ได้รับการพัฒนาศักยภาพด้านงานวิจัยหรืองานสร้างสรรค์</t>
    </r>
  </si>
  <si>
    <r>
      <t></t>
    </r>
    <r>
      <rPr>
        <sz val="14"/>
        <rFont val="Cordia New"/>
        <family val="2"/>
      </rPr>
      <t xml:space="preserve"> จำนวนอาจารย์ประจำและนักวิจัยประจำ</t>
    </r>
    <r>
      <rPr>
        <b/>
        <sz val="14"/>
        <rFont val="Cordia New"/>
        <family val="2"/>
      </rPr>
      <t>ที่ได้รับความรู้ด้านจรรยาบรรณการวิจัย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</si>
  <si>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ที่ได้รับทุนวิจัยทั้งภายในและ/หรือภายนอก</t>
    </r>
    <r>
      <rPr>
        <sz val="14"/>
        <rFont val="Cordia New"/>
        <family val="2"/>
      </rPr>
      <t xml:space="preserve"> (ไม่นับซ้ำ)</t>
    </r>
  </si>
  <si>
    <r>
      <t></t>
    </r>
    <r>
      <rPr>
        <b/>
        <sz val="14"/>
        <rFont val="Cordia New"/>
        <family val="2"/>
      </rPr>
      <t xml:space="preserve"> จำนวนของงานวิจัยหรืองานสร้างสรรค์ทั้งหมด</t>
    </r>
  </si>
  <si>
    <r>
      <t></t>
    </r>
    <r>
      <rPr>
        <sz val="14"/>
        <rFont val="Cordia New"/>
        <family val="2"/>
      </rPr>
      <t xml:space="preserve"> จำนวนโครงการบริการวิชาการ</t>
    </r>
  </si>
  <si>
    <r>
      <t xml:space="preserve">      -  จำนวนโครงการบริการทางวิชาการ</t>
    </r>
    <r>
      <rPr>
        <b/>
        <sz val="14"/>
        <rFont val="Cordia New"/>
        <family val="2"/>
      </rPr>
      <t>ที่ใช้กับการเรียนการสอน</t>
    </r>
  </si>
  <si>
    <r>
      <t xml:space="preserve">      -  จำนวนโครงการบริการทางวิชาการ</t>
    </r>
    <r>
      <rPr>
        <b/>
        <sz val="14"/>
        <rFont val="Cordia New"/>
        <family val="2"/>
      </rPr>
      <t>ที่ใช้กับการวิจัย</t>
    </r>
  </si>
  <si>
    <r>
      <t xml:space="preserve">      -  จำนวนโครงการบริการทางวิชาการ</t>
    </r>
    <r>
      <rPr>
        <b/>
        <sz val="14"/>
        <rFont val="Cordia New"/>
        <family val="2"/>
      </rPr>
      <t>ที่ใช้กับการเรียนการสอนและการวิจัย</t>
    </r>
  </si>
  <si>
    <r>
      <t xml:space="preserve">      -  จำนวนโครงการทางวิชาการ</t>
    </r>
    <r>
      <rPr>
        <b/>
        <sz val="14"/>
        <rFont val="Cordia New"/>
        <family val="2"/>
      </rPr>
      <t>ที่ใช้กับการขยายผลสู่การปรับปรุงรายวิชา</t>
    </r>
  </si>
  <si>
    <r>
      <t xml:space="preserve">      -  จำนวนโครงการบริการทางวิชาการ</t>
    </r>
    <r>
      <rPr>
        <b/>
        <sz val="14"/>
        <rFont val="Cordia New"/>
        <family val="2"/>
      </rPr>
      <t>ที่ใช้กับการขยายผลสู่การเปิดรายวิชาใหม่</t>
    </r>
  </si>
  <si>
    <r>
      <t xml:space="preserve">      - จำนวนโครงการบริการทางวิชาการ</t>
    </r>
    <r>
      <rPr>
        <b/>
        <sz val="14"/>
        <rFont val="Cordia New"/>
        <family val="2"/>
      </rPr>
      <t>ที่ใช้กับการขยายผลที่ใช้กับการต่อยอดสู่หนังสือหรือตำรา</t>
    </r>
  </si>
  <si>
    <r>
      <t></t>
    </r>
    <r>
      <rPr>
        <sz val="14"/>
        <rFont val="Cordia New"/>
        <family val="2"/>
      </rPr>
      <t xml:space="preserve"> โครงการบริการวิชาการที่มีการสำรวจความพึงพอใจ</t>
    </r>
  </si>
  <si>
    <r>
      <t></t>
    </r>
    <r>
      <rPr>
        <sz val="14"/>
        <rFont val="Cordia New"/>
        <family val="2"/>
      </rPr>
      <t xml:space="preserve"> โครงการบริการวิชาการที่มีความร่วมมือด้านบริการทาง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</t>
    </r>
  </si>
  <si>
    <r>
      <t></t>
    </r>
    <r>
      <rPr>
        <sz val="14"/>
        <rFont val="Cordia New"/>
        <family val="2"/>
      </rPr>
      <t xml:space="preserve"> ผลการประเมินความพึงพอใจของผู้รับบริการ</t>
    </r>
  </si>
  <si>
    <r>
      <t></t>
    </r>
    <r>
      <rPr>
        <sz val="14"/>
        <rFont val="Cordia New"/>
        <family val="2"/>
      </rPr>
      <t xml:space="preserve"> จำนวนอาจารย์ประจำที่เป็นที่ปรึกษา เป็นกรรมการวิทยานิพนธ์ภายนอกมหาวิทยาลัย เป็นกรรมการวิชาการ วิชาชีพในระดับชาติหรือระดับนานาชาติ</t>
    </r>
  </si>
  <si>
    <r>
      <t></t>
    </r>
    <r>
      <rPr>
        <sz val="14"/>
        <rFont val="Cordia New"/>
        <family val="2"/>
      </rPr>
      <t xml:space="preserve"> จำนวนโครงการหรือกิจกรรมที่ส่งเสริมสนับสนุนด้านศิลปะและวัฒนธรรม</t>
    </r>
  </si>
  <si>
    <r>
      <t></t>
    </r>
    <r>
      <rPr>
        <sz val="14"/>
        <rFont val="Cordia New"/>
        <family val="2"/>
      </rPr>
      <t xml:space="preserve"> จำนวนโครงการที่มีการบูรณาการด้านทำนุบำรุงศิลปะและวัฒนธรรม</t>
    </r>
  </si>
  <si>
    <r>
      <t></t>
    </r>
    <r>
      <rPr>
        <sz val="14"/>
        <rFont val="Cordia New"/>
        <family val="2"/>
      </rPr>
      <t xml:space="preserve"> จำนวนผลงานวิจัยหรืองานสร้างสรรค์ด้านศิลปะและวัฒนธรรมที่มีการเผยแพร่</t>
    </r>
  </si>
  <si>
    <r>
      <t></t>
    </r>
    <r>
      <rPr>
        <sz val="14"/>
        <rFont val="Cordia New"/>
        <family val="2"/>
      </rPr>
      <t xml:space="preserve"> จำนวนผลงานวิจัยหรืองานสร้างสรรค์ด้านศิลปะและวัฒนธรรมที่ได้รับรางวัลหรือได้รับการอ้างอิงเป็นที่ยอมรับ</t>
    </r>
  </si>
  <si>
    <r>
      <t></t>
    </r>
    <r>
      <rPr>
        <b/>
        <sz val="14"/>
        <rFont val="Cordia New"/>
        <family val="2"/>
      </rPr>
      <t xml:space="preserve"> รายรับทั้งหมดของหน่วยงาน </t>
    </r>
  </si>
  <si>
    <r>
      <t></t>
    </r>
    <r>
      <rPr>
        <sz val="14"/>
        <rFont val="Cordia New"/>
        <family val="2"/>
      </rPr>
      <t xml:space="preserve"> รายรับจากการบริการวิชาการและวิชาชีพ</t>
    </r>
  </si>
  <si>
    <r>
      <t></t>
    </r>
    <r>
      <rPr>
        <sz val="14"/>
        <rFont val="Cordia New"/>
        <family val="2"/>
      </rPr>
      <t xml:space="preserve"> งบดำเนินการทั้งหมด โดยไม่รวมครุภัณฑ์ อาคาร สถานที่ และที่ดิน</t>
    </r>
  </si>
  <si>
    <r>
      <t></t>
    </r>
    <r>
      <rPr>
        <sz val="14"/>
        <rFont val="Cordia New"/>
        <family val="2"/>
      </rPr>
      <t xml:space="preserve"> ค่าใช้จ่ายทั้งหมดของหน่วยงาน โดยไม่รวมครุภัณฑ์ อาคาร สถานที่และที่ดิน </t>
    </r>
  </si>
  <si>
    <r>
      <t></t>
    </r>
    <r>
      <rPr>
        <sz val="14"/>
        <rFont val="Cordia New"/>
        <family val="2"/>
      </rPr>
      <t xml:space="preserve"> เงินเหลือจ่ายสุทธิ </t>
    </r>
  </si>
  <si>
    <r>
      <t></t>
    </r>
    <r>
      <rPr>
        <sz val="14"/>
        <rFont val="Cordia New"/>
        <family val="2"/>
      </rPr>
      <t xml:space="preserve"> สินทรัพย์ถาวร </t>
    </r>
  </si>
  <si>
    <r>
      <t></t>
    </r>
    <r>
      <rPr>
        <sz val="14"/>
        <rFont val="Cordia New"/>
        <family val="2"/>
      </rPr>
      <t xml:space="preserve"> จำนวนตัวบ่งชี้เพิ่มเติมตามอัตลักษณ์ของหน่วยงาน</t>
    </r>
  </si>
  <si>
    <r>
      <t></t>
    </r>
    <r>
      <rPr>
        <sz val="14"/>
        <rFont val="Cordia New"/>
        <family val="2"/>
      </rPr>
      <t xml:space="preserve"> จำนวนโครงการปรับปรุงการดำเนินงานที่ใช้ผลจากการประกันคุณภาพภายใน เพื่อให้ผลการดำเนินงานตามตัวบ่งชี้ของแผนกลยุทธ์ของคณะ มีการพัฒนาขึ้นจากปีก่อนหน้า</t>
    </r>
  </si>
  <si>
    <r>
      <t></t>
    </r>
    <r>
      <rPr>
        <sz val="14"/>
        <rFont val="Cordia New"/>
        <family val="2"/>
      </rPr>
      <t xml:space="preserve"> จำนวนตัวบ่งชี้ของแผนกลยุทธ์ของคณะ</t>
    </r>
  </si>
  <si>
    <r>
      <t></t>
    </r>
    <r>
      <rPr>
        <sz val="14"/>
        <rFont val="Cordia New"/>
        <family val="2"/>
      </rPr>
      <t xml:space="preserve"> จำนวนตัวบ่งชี้ของแผนกลยุทธ์ของคณะ ที่มีผลการดำเนินงานพัฒนาขึ้นจากปีก่อนหน้า</t>
    </r>
  </si>
  <si>
    <r>
      <t></t>
    </r>
    <r>
      <rPr>
        <sz val="14"/>
        <rFont val="Cordia New"/>
        <family val="2"/>
      </rPr>
      <t xml:space="preserve"> จำนวนแนวปฏิบัติที่ดีหรืองานวิจัยด้านการประกันคุณภาพการศึกษาที่หน่วยงานพัฒนาขึ้น และเผยแพร่ให้หน่วยงานอื่นสามารถนำไปใช้ประโยชน์</t>
    </r>
  </si>
  <si>
    <r>
      <t></t>
    </r>
    <r>
      <rPr>
        <sz val="14"/>
        <rFont val="Cordia New"/>
        <family val="2"/>
      </rPr>
      <t xml:space="preserve"> จำนวนตัวบ่งชี้ของแผนปฏิบัติงานประจำปีงบประมาณ</t>
    </r>
    <r>
      <rPr>
        <b/>
        <sz val="14"/>
        <rFont val="Cordia New"/>
        <family val="2"/>
      </rPr>
      <t>ทั้งหมด</t>
    </r>
  </si>
  <si>
    <r>
      <t></t>
    </r>
    <r>
      <rPr>
        <sz val="14"/>
        <rFont val="Cordia New"/>
        <family val="2"/>
      </rPr>
      <t xml:space="preserve"> จำนวนตัวบ่งชี้ของแผนปฏิบัติงานประจำปี</t>
    </r>
    <r>
      <rPr>
        <b/>
        <sz val="14"/>
        <rFont val="Cordia New"/>
        <family val="2"/>
      </rPr>
      <t>ที่บรรลุเป้าหมาย</t>
    </r>
  </si>
  <si>
    <r>
      <t></t>
    </r>
    <r>
      <rPr>
        <sz val="14"/>
        <rFont val="Cordia New"/>
        <family val="2"/>
      </rPr>
      <t xml:space="preserve"> จำนวนข้อคิดเห็นและข้อเสนอแนะของผู้บริหาร/คณะกรรมการประจำคณะ</t>
    </r>
    <r>
      <rPr>
        <b/>
        <sz val="14"/>
        <rFont val="Cordia New"/>
        <family val="2"/>
      </rPr>
      <t>ที่นำไปทบทวน/ปรับปรุงแผนกลยุทธ์และแผนปฏิบัติการประจำปี</t>
    </r>
  </si>
  <si>
    <r>
      <t></t>
    </r>
    <r>
      <rPr>
        <sz val="14"/>
        <rFont val="Cordia New"/>
        <family val="2"/>
      </rPr>
      <t xml:space="preserve"> จำนวนข้อคิดเห็นและข้อเสนอแนะของผู้บริหาร/คณะกรรมการประจำคณะ</t>
    </r>
    <r>
      <rPr>
        <b/>
        <sz val="14"/>
        <rFont val="Cordia New"/>
        <family val="2"/>
      </rPr>
      <t>ทั้งหมด</t>
    </r>
  </si>
  <si>
    <r>
      <t xml:space="preserve">        - ระดับปริญญาโทที่เปิดสอนทั้งแผน ก และแผน ข </t>
    </r>
    <r>
      <rPr>
        <b/>
        <sz val="14"/>
        <rFont val="Cordia New"/>
        <family val="2"/>
      </rPr>
      <t>(มีนิสิตลงทะเบียนเรียน ทั้งแผน ก และแผน ข)</t>
    </r>
  </si>
  <si>
    <r>
      <t xml:space="preserve">        - ระดับปริญญาโทที่เปิดสอนทั้งแผน ก และแผน ข </t>
    </r>
    <r>
      <rPr>
        <b/>
        <sz val="14"/>
        <rFont val="Cordia New"/>
        <family val="2"/>
      </rPr>
      <t>(มีนิสิตลงทะเบียนเรียนเฉพาะแผน ข)</t>
    </r>
  </si>
  <si>
    <r>
      <t xml:space="preserve">        - ระดับปริญญาโทที่เปิดสอนทั้งแผน ก และแผน ข </t>
    </r>
    <r>
      <rPr>
        <b/>
        <sz val="14"/>
        <rFont val="Cordia New"/>
        <family val="2"/>
      </rPr>
      <t>(มีนิสิตลงทะเบียนเรียนเฉพาะแผน ก)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</si>
  <si>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จำนวนหลักสูตร </t>
    </r>
    <r>
      <rPr>
        <b/>
        <sz val="14"/>
        <rFont val="Cordia New"/>
        <family val="2"/>
      </rPr>
      <t>(ที่ไม่ใช่วิชาชีพ) ที่เปิดสอนทั้งหมด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</si>
  <si>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 xml:space="preserve">จำนวนหลักสูตร </t>
    </r>
    <r>
      <rPr>
        <b/>
        <sz val="14"/>
        <rFont val="Cordia New"/>
        <family val="2"/>
      </rPr>
      <t>(วิชาชีพ) ที่เปิดสอนทั้งหมด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</si>
  <si>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จำนวนหลักสูตร</t>
    </r>
    <r>
      <rPr>
        <b/>
        <sz val="14"/>
        <rFont val="Cordia New"/>
        <family val="2"/>
      </rPr>
      <t xml:space="preserve"> (ที่ไม่ใช่วิชาชีพ) ที่เป็นไปตามเกณฑ์มาตรฐานหลักสุตร พ.ศ. 2548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</si>
  <si>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จำนวนหลักสูตร</t>
    </r>
    <r>
      <rPr>
        <b/>
        <sz val="14"/>
        <rFont val="Cordia New"/>
        <family val="2"/>
      </rPr>
      <t>ที่เป็นไปตามเกณฑ์มาตรฐานหลักสุตร พ.ศ. 2548 และเกณฑ์มาตรฐานสาขาวิชาชีพ</t>
    </r>
    <r>
      <rPr>
        <sz val="14"/>
        <rFont val="Cordia New"/>
        <family val="2"/>
      </rPr>
      <t xml:space="preserve"> (กรณีที่เป็นหลักสูตรสาขาวิชาชีพ)</t>
    </r>
  </si>
  <si>
    <r>
      <t xml:space="preserve">        - ระดับปริญญาโทที่เปิดสอนทั้งแผน ก และแผน ข</t>
    </r>
    <r>
      <rPr>
        <b/>
        <sz val="14"/>
        <rFont val="Cordia New"/>
        <family val="2"/>
      </rPr>
      <t> (มีนิสิตลงทะเบียนเรียน เฉพาะแผน ก)</t>
    </r>
  </si>
  <si>
    <r>
      <t xml:space="preserve">        - ระดับปริญญาโทที่เปิดสอนทั้งแผน ก และแผน ข </t>
    </r>
    <r>
      <rPr>
        <b/>
        <sz val="14"/>
        <rFont val="Cordia New"/>
        <family val="2"/>
      </rPr>
      <t>(มีนิสิตลงทะเบียนเรียน เฉพาะแผน ข)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</si>
  <si>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จำนวนหลักสูตร</t>
    </r>
    <r>
      <rPr>
        <b/>
        <sz val="14"/>
        <rFont val="Cordia New"/>
        <family val="2"/>
      </rPr>
      <t xml:space="preserve"> (ที่ไม่ใช่วิชาชีพ) ที่เป็นไปตามเกณฑ์มาตรฐานหลักสุตร พ.ศ. 2548 และกรอบมาตรฐานคุณวุฒิระดับอุดมศึกษาแห่งชาติ พ.ศ. 2552</t>
    </r>
  </si>
  <si>
    <r>
      <t xml:space="preserve">        - ระดับปริญญาโทที่เปิดสอนทั้งแผน ก และแผน ข </t>
    </r>
    <r>
      <rPr>
        <b/>
        <sz val="14"/>
        <rFont val="Cordia New"/>
        <family val="2"/>
      </rPr>
      <t>(มีนิสิตลงทะเบียนเรียน เฉพาะแผน ก)</t>
    </r>
  </si>
  <si>
    <r>
      <t xml:space="preserve">        - ระดับปริญญาโทที่เปิดสอนทั้งแผน ก และแผน ข</t>
    </r>
    <r>
      <rPr>
        <b/>
        <sz val="14"/>
        <rFont val="Cordia New"/>
        <family val="2"/>
      </rPr>
      <t> (มีนิสิตลงทะเบียนเรียน ทั้งแผน ก และแผน ข)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</si>
  <si>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จำนวนหลักสูตร</t>
    </r>
    <r>
      <rPr>
        <b/>
        <sz val="14"/>
        <rFont val="Cordia New"/>
        <family val="2"/>
      </rPr>
      <t>ที่เป็นไปตามเกณฑ์มาตรฐานหลักสุตร พ.ศ. 2548 และกรอบมาตรฐานคุณวุฒิระดับอุดมศึกษาแห่งชาติ พ.ศ. 2552 และเกณฑ์มาตรฐานสาขาวิชาชีพ</t>
    </r>
    <r>
      <rPr>
        <sz val="14"/>
        <rFont val="Cordia New"/>
        <family val="2"/>
      </rPr>
      <t xml:space="preserve"> (กรณีที่เป็นหลักสูตรสาขาวิชาชีพ)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</si>
  <si>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จำนวนนิสิต</t>
    </r>
    <r>
      <rPr>
        <b/>
        <sz val="14"/>
        <rFont val="Cordia New"/>
        <family val="2"/>
      </rPr>
      <t>ปัจจุบันทั้งหมดทุกระดับการศึกษา (รวมนิสิตต่างประเทศ)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</si>
  <si>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จำนวนนิสิต</t>
    </r>
    <r>
      <rPr>
        <b/>
        <sz val="14"/>
        <rFont val="Cordia New"/>
        <family val="2"/>
      </rPr>
      <t xml:space="preserve">ต่างประเทศปัจจุบันทั้งหมดทุกระดับการศึกษา 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</si>
  <si>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จำนวนนิสิต</t>
    </r>
    <r>
      <rPr>
        <b/>
        <sz val="14"/>
        <rFont val="Cordia New"/>
        <family val="2"/>
      </rPr>
      <t>เต็มเวลาเทียบเท่า (FTES) รวมทุกหลักสูตร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</si>
  <si>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ทั้งหมด รวมทั้งที่ปฏิบัติงานจริงและลาศึกษาต่อ (รวมอาจารย์ชาวต่างประเทศ)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</si>
  <si>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ที่ลาศึกษาต่อ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</si>
  <si>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ทั้งหมด วุฒิปริญญาตรีหรือเทียบเท่า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</si>
  <si>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ทั้งหมด วุฒิปริญญาโทหรือเทียบเท่า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</si>
  <si>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ทั้งหมด วุฒิปริญญาเอกหรือเทียบเท่า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</si>
  <si>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ทั้งหมดที่ดำรงตำแหน่งอาจารย์</t>
    </r>
  </si>
  <si>
    <r>
      <t xml:space="preserve">    -  จำนวนอาจารย์ประจำ (ที่ไม่มีตำแหน่งทางวิชาการ) </t>
    </r>
    <r>
      <rPr>
        <b/>
        <sz val="14"/>
        <rFont val="Cordia New"/>
        <family val="2"/>
      </rPr>
      <t>ที่มีวุฒิปริญญาตรี</t>
    </r>
  </si>
  <si>
    <r>
      <t xml:space="preserve">    -  จำนวนอาจารย์ประจำ (ที่ไม่มีตำแหน่งทางวิชาการ) </t>
    </r>
    <r>
      <rPr>
        <b/>
        <sz val="14"/>
        <rFont val="Cordia New"/>
        <family val="2"/>
      </rPr>
      <t>ที่มีวุฒิปริญญาโท</t>
    </r>
  </si>
  <si>
    <r>
      <t xml:space="preserve">    -  จำนวนอาจารย์ประจำ (ที่ไม่มีตำแหน่งทางวิชาการ) </t>
    </r>
    <r>
      <rPr>
        <b/>
        <sz val="14"/>
        <rFont val="Cordia New"/>
        <family val="2"/>
      </rPr>
      <t>ที่มีวุฒิปริญญาเอก</t>
    </r>
  </si>
  <si>
    <r>
      <t xml:space="preserve">    -  จำนวนอาจารย์ประจำตำแหน่งผู้ช่วยศาสตราจารย์ </t>
    </r>
    <r>
      <rPr>
        <b/>
        <sz val="14"/>
        <rFont val="Cordia New"/>
        <family val="2"/>
      </rPr>
      <t>ที่มีวุฒิปริญญาตรี</t>
    </r>
  </si>
  <si>
    <r>
      <t xml:space="preserve">    -  จำนวนอาจารย์ประจำตำแหน่งผู้ช่วยศาสตราจารย์ </t>
    </r>
    <r>
      <rPr>
        <b/>
        <sz val="14"/>
        <rFont val="Cordia New"/>
        <family val="2"/>
      </rPr>
      <t>ที่มีวุฒิปริญญาโท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</si>
  <si>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ทั้งหมดที่ดำรงตำแหน่งผู้ช่วยศาสตราจารย์</t>
    </r>
  </si>
  <si>
    <r>
      <t xml:space="preserve">    -  จำนวนอาจารย์ประจำตำแหน่งผู้ช่วยศาสตราจารย์ </t>
    </r>
    <r>
      <rPr>
        <b/>
        <sz val="14"/>
        <rFont val="Cordia New"/>
        <family val="2"/>
      </rPr>
      <t>ที่มีวุฒิปริญญาเอก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</si>
  <si>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ทั้งหมดที่ดำรงตำแหน่งรองศาสตราจารย์</t>
    </r>
  </si>
  <si>
    <r>
      <t xml:space="preserve">    -  จำนวนอาจารย์ประจำตำแหน่งรองศาสตราจารย์ </t>
    </r>
    <r>
      <rPr>
        <b/>
        <sz val="14"/>
        <rFont val="Cordia New"/>
        <family val="2"/>
      </rPr>
      <t>ที่มีวุฒิปริญญาตรี</t>
    </r>
  </si>
  <si>
    <r>
      <t xml:space="preserve">    -  จำนวนอาจารย์ประจำตำแหน่งรองศาสตราจารย์ </t>
    </r>
    <r>
      <rPr>
        <b/>
        <sz val="14"/>
        <rFont val="Cordia New"/>
        <family val="2"/>
      </rPr>
      <t>ที่มีวุฒิปริญญาโท</t>
    </r>
  </si>
  <si>
    <r>
      <t xml:space="preserve">    -  จำนวนอาจารย์ประจำตำแหน่งรองศาสตราจารย์ </t>
    </r>
    <r>
      <rPr>
        <b/>
        <sz val="14"/>
        <rFont val="Cordia New"/>
        <family val="2"/>
      </rPr>
      <t>ที่มีวุฒิปริญญาเอก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</si>
  <si>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ทั้งหมดที่ดำรงตำแหน่งศาสตราจารย์</t>
    </r>
  </si>
  <si>
    <r>
      <t xml:space="preserve">    -  จำนวนอาจารย์ประจำตำแหน่งศาสตราจารย์ </t>
    </r>
    <r>
      <rPr>
        <b/>
        <sz val="14"/>
        <rFont val="Cordia New"/>
        <family val="2"/>
      </rPr>
      <t>ที่มีวุฒิปริญญาโท</t>
    </r>
  </si>
  <si>
    <r>
      <t xml:space="preserve">    -  จำนวนอาจารย์ประจำตำแหน่งศาสตราจารย์ </t>
    </r>
    <r>
      <rPr>
        <b/>
        <sz val="14"/>
        <rFont val="Cordia New"/>
        <family val="2"/>
      </rPr>
      <t>ที่มีวุฒิปริญญาตรี</t>
    </r>
  </si>
  <si>
    <r>
      <t xml:space="preserve">    -  จำนวนอาจารย์ประจำตำแหน่งศาสตราจารย์ </t>
    </r>
    <r>
      <rPr>
        <b/>
        <sz val="14"/>
        <rFont val="Cordia New"/>
        <family val="2"/>
      </rPr>
      <t>ที่มีวุฒิปริญญาเอก</t>
    </r>
  </si>
  <si>
    <r>
      <t>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จำนวนอาจารย์ประจำ</t>
    </r>
    <r>
      <rPr>
        <b/>
        <sz val="14"/>
        <rFont val="Cordia New"/>
        <family val="2"/>
      </rPr>
      <t>ชาวต่างประเทศทั้งหมด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</si>
  <si>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ชาวต่างประเทศ ที่ลาศึกษาต่อ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</si>
  <si>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ชาวต่างประเทศ ที่มีวุฒิปริญญาตรีหรือเทียบเท่า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</si>
  <si>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ชาวต่างประเทศ ที่มีวุฒิปริญญาโทหรือเทียบเท่า</t>
    </r>
  </si>
  <si>
    <r>
      <t></t>
    </r>
    <r>
      <rPr>
        <sz val="14"/>
        <rFont val="Cordia New"/>
        <family val="2"/>
      </rPr>
      <t xml:space="preserve"> จำนวนอาจารย์ประจำช</t>
    </r>
    <r>
      <rPr>
        <b/>
        <sz val="14"/>
        <rFont val="Cordia New"/>
        <family val="2"/>
      </rPr>
      <t>าวต่างประเทศ ที่มีวุฒิปริญญาเอกหรือเทียบเท่า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</si>
  <si>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ชาวต่างประเทศ ที่ดำรงตำแหน่งอาจารย์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</si>
  <si>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ชาวต่างประเทศ ที่ดำรงตำแหน่งผู้ช่วยศาสตราจารย์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</si>
  <si>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ต่างประเทศ ที่ดำรงตำแหน่งรองศาสตราจารย์</t>
    </r>
  </si>
  <si>
    <r>
      <t></t>
    </r>
    <r>
      <rPr>
        <sz val="14"/>
        <rFont val="Cordia New"/>
        <family val="2"/>
      </rPr>
      <t xml:space="preserve"> จำนวนอาจารย์ประจำ</t>
    </r>
    <r>
      <rPr>
        <b/>
        <sz val="14"/>
        <rFont val="Cordia New"/>
        <family val="2"/>
      </rPr>
      <t>ต่างประเทศ ที่ดำรงตำแหน่งศาสตราจารย์</t>
    </r>
  </si>
  <si>
    <r>
      <t xml:space="preserve">     - จำนวนเงินสนับสนุนจาก</t>
    </r>
    <r>
      <rPr>
        <b/>
        <sz val="14"/>
        <rFont val="Cordia New"/>
        <family val="2"/>
      </rPr>
      <t>ภายในมหาวิทยาลัย</t>
    </r>
  </si>
  <si>
    <r>
      <t xml:space="preserve">     - จำนวนเงินสนับสนุนจาก</t>
    </r>
    <r>
      <rPr>
        <b/>
        <sz val="14"/>
        <rFont val="Cordia New"/>
        <family val="2"/>
      </rPr>
      <t>ภายนอกมหาวิทยาลัย</t>
    </r>
  </si>
  <si>
    <r>
      <t></t>
    </r>
    <r>
      <rPr>
        <sz val="14"/>
        <rFont val="Cordia New"/>
        <family val="2"/>
      </rPr>
      <t xml:space="preserve"> จำนวนของงานวิจัยหรืองานสร้างสรรค์ที่มีการเผยแพร่ใน</t>
    </r>
    <r>
      <rPr>
        <b/>
        <sz val="14"/>
        <rFont val="Cordia New"/>
        <family val="2"/>
      </rPr>
      <t>การประชุมวิชาการหรือตีพิมพ์ในวารสารระดับชาติหรือนานาชาติ</t>
    </r>
  </si>
  <si>
    <r>
      <t></t>
    </r>
    <r>
      <rPr>
        <sz val="14"/>
        <rFont val="Cordia New"/>
        <family val="2"/>
      </rPr>
      <t xml:space="preserve"> จำนวนของงานวิจัยหรืองานสร้างสรรค์</t>
    </r>
    <r>
      <rPr>
        <b/>
        <sz val="14"/>
        <rFont val="Cordia New"/>
        <family val="2"/>
      </rPr>
      <t>ที่มีการรับรองการใช้ประโยชน์จริงจากหน่วยงานภายนอกหรือชุมชน</t>
    </r>
  </si>
  <si>
    <r>
      <t></t>
    </r>
    <r>
      <rPr>
        <sz val="14"/>
        <rFont val="Cordia New"/>
        <family val="2"/>
      </rPr>
      <t xml:space="preserve"> จำนวนผลงานวิจัยหรืองานสร้างสรรค์</t>
    </r>
    <r>
      <rPr>
        <b/>
        <sz val="14"/>
        <rFont val="Cordia New"/>
        <family val="2"/>
      </rPr>
      <t xml:space="preserve">ที่มีการจดทะเบียนสิทธิบัตรหรืออนุสิทธิบัตร </t>
    </r>
  </si>
  <si>
    <r>
      <t></t>
    </r>
    <r>
      <rPr>
        <sz val="14"/>
        <rFont val="Cordia New"/>
        <family val="2"/>
      </rPr>
      <t xml:space="preserve"> จำนวนผลงานวิจัยหรืองานสร้างสรรค์</t>
    </r>
    <r>
      <rPr>
        <b/>
        <sz val="14"/>
        <rFont val="Cordia New"/>
        <family val="2"/>
      </rPr>
      <t xml:space="preserve">ที่อยู่ระหว่างขอยื่นจดทะเบียนสิทธิบัตรหรืออนุสิทธิบัตร </t>
    </r>
  </si>
  <si>
    <r>
      <t></t>
    </r>
    <r>
      <rPr>
        <sz val="14"/>
        <rFont val="Cordia New"/>
        <family val="2"/>
      </rPr>
      <t xml:space="preserve"> จำนวนผลงานวิจัยหรืองานสร้างสรรค์</t>
    </r>
    <r>
      <rPr>
        <b/>
        <sz val="14"/>
        <rFont val="Cordia New"/>
        <family val="2"/>
      </rPr>
      <t>ที่จดทะเบียนพันธุ์พืช พันธุ์สัตว์</t>
    </r>
  </si>
  <si>
    <r>
      <t xml:space="preserve">      -  จำนวนความเสี่ยง</t>
    </r>
    <r>
      <rPr>
        <b/>
        <sz val="14"/>
        <rFont val="Cordia New"/>
        <family val="2"/>
      </rPr>
      <t>ด้านทรัพยากร</t>
    </r>
    <r>
      <rPr>
        <sz val="14"/>
        <rFont val="Cordia New"/>
        <family val="2"/>
      </rPr>
      <t xml:space="preserve"> (การเงิน งบประมาณ ระบบเทคโนโลยี สารสนเทศ อาคารสถานที่) ที่วิเคราะห์และระบุไว้</t>
    </r>
  </si>
  <si>
    <r>
      <t xml:space="preserve">      -  จำนวนความเสี่ยง</t>
    </r>
    <r>
      <rPr>
        <b/>
        <sz val="14"/>
        <rFont val="Cordia New"/>
        <family val="2"/>
      </rPr>
      <t>ด้านนโยบาย กฎหมาย ระเบียบ ข้อบังคับ</t>
    </r>
    <r>
      <rPr>
        <sz val="14"/>
        <rFont val="Cordia New"/>
        <family val="2"/>
      </rPr>
      <t xml:space="preserve"> ที่วิเคราะห์และระบุไว้</t>
    </r>
  </si>
  <si>
    <r>
      <t xml:space="preserve">      -  จำนวนความเสี่ยง</t>
    </r>
    <r>
      <rPr>
        <b/>
        <sz val="14"/>
        <rFont val="Cordia New"/>
        <family val="2"/>
      </rPr>
      <t xml:space="preserve">ด้านยุทธศาสตร์ หรือกลยุทธ์ของคณะ </t>
    </r>
    <r>
      <rPr>
        <sz val="14"/>
        <rFont val="Cordia New"/>
        <family val="2"/>
      </rPr>
      <t>ที่วิเคราะห์และระบุไว้</t>
    </r>
  </si>
  <si>
    <r>
      <t xml:space="preserve">      -  จำนวนความเสี่ยง</t>
    </r>
    <r>
      <rPr>
        <b/>
        <sz val="14"/>
        <rFont val="Cordia New"/>
        <family val="2"/>
      </rPr>
      <t>ด้านการปฏิบัติงาน</t>
    </r>
    <r>
      <rPr>
        <sz val="14"/>
        <rFont val="Cordia New"/>
        <family val="2"/>
      </rPr>
      <t xml:space="preserve"> ที่วิเคราะห์และระบุไว้</t>
    </r>
  </si>
  <si>
    <r>
      <t xml:space="preserve">      -  จำนวนความเสี่ยง</t>
    </r>
    <r>
      <rPr>
        <b/>
        <sz val="14"/>
        <rFont val="Cordia New"/>
        <family val="2"/>
      </rPr>
      <t>จากเหตุการณ์ภายนอก</t>
    </r>
    <r>
      <rPr>
        <sz val="14"/>
        <rFont val="Cordia New"/>
        <family val="2"/>
      </rPr>
      <t xml:space="preserve"> ที่วิเคราะห์และระบุไว้</t>
    </r>
  </si>
  <si>
    <r>
      <t xml:space="preserve">      -  จำนวนความเสี่ยง</t>
    </r>
    <r>
      <rPr>
        <b/>
        <sz val="14"/>
        <rFont val="Cordia New"/>
        <family val="2"/>
      </rPr>
      <t>ด้านอื่นๆ ตามบริบทของคณะ</t>
    </r>
    <r>
      <rPr>
        <sz val="14"/>
        <rFont val="Cordia New"/>
        <family val="2"/>
      </rPr>
      <t xml:space="preserve"> ที่วิเคราะห์และระบุไว้</t>
    </r>
  </si>
  <si>
    <r>
      <t></t>
    </r>
    <r>
      <rPr>
        <sz val="14"/>
        <rFont val="Cordia New"/>
        <family val="2"/>
      </rPr>
      <t xml:space="preserve"> จำนวนนิสิตที่เข้าสอบภาษาต่างประเทศทั้งหมด </t>
    </r>
    <r>
      <rPr>
        <b/>
        <sz val="14"/>
        <rFont val="Cordia New"/>
        <family val="2"/>
      </rPr>
      <t>(เฉพาะคณะมนุษยศาสตร์)</t>
    </r>
  </si>
  <si>
    <r>
      <t></t>
    </r>
    <r>
      <rPr>
        <sz val="14"/>
        <rFont val="Cordia New"/>
        <family val="2"/>
      </rPr>
      <t xml:space="preserve"> จำนวนนิสิตที่สอบผ่านเกณฑ์การทดสอบความรู้ความสามารถด้านภาษาต่างประเทศที่กำหนดทั้งหมด </t>
    </r>
    <r>
      <rPr>
        <b/>
        <sz val="14"/>
        <rFont val="Cordia New"/>
        <family val="2"/>
      </rPr>
      <t>(เฉพาะคณะมนุษยศาสตร์)</t>
    </r>
  </si>
  <si>
    <r>
      <t xml:space="preserve">แบบรายงานผลการประเมินคุณภาพภายในรายตัวบ่งชี้ </t>
    </r>
    <r>
      <rPr>
        <b/>
        <sz val="20"/>
        <rFont val="Angsana New"/>
        <family val="1"/>
      </rPr>
      <t>สมศ.</t>
    </r>
    <r>
      <rPr>
        <b/>
        <sz val="18"/>
        <rFont val="Angsana New"/>
        <family val="1"/>
      </rPr>
      <t xml:space="preserve"> ประจำปีการศึกษา 2553 (ป. 1)</t>
    </r>
  </si>
  <si>
    <r>
      <t xml:space="preserve">แบบรายงานผลการประเมินคุณภาพภายในรายตัวบ่งชี้ </t>
    </r>
    <r>
      <rPr>
        <b/>
        <sz val="20"/>
        <rFont val="Angsana New"/>
        <family val="1"/>
      </rPr>
      <t>สกอ.</t>
    </r>
    <r>
      <rPr>
        <b/>
        <sz val="18"/>
        <rFont val="Angsana New"/>
        <family val="1"/>
      </rPr>
      <t xml:space="preserve"> ประจำปีการศึกษา 2553 (ป. 1)</t>
    </r>
  </si>
  <si>
    <t>คะแนนเฉลี่ยภาพรวมตามตัวบ่งชี้ของ สกอ. (23 ตัวบ่งชี้)</t>
  </si>
  <si>
    <t>15
(สมศ.)</t>
  </si>
  <si>
    <t>องค์ประกอบที่ 9 ระบบและกลไกการประกันคุณภาพ (สมศ.) 1 ตัวบ่งชี้</t>
  </si>
  <si>
    <t>ผลประเมินการประกันคุณภาพภายในรับรองโดยต้นสังกัด</t>
  </si>
  <si>
    <t>องค์ประกอบที่ 5  การบริการทางวิชาการแก่สังคม (สมศ.) 2 ตัวบ่งชี้ (ไม่ประเมินตัวบ่งชี้ที่ 8)</t>
  </si>
  <si>
    <t>คะแนนการประเมินเฉลี่ย ปีการศึกษา 2553</t>
  </si>
  <si>
    <t>สกอ.+มก.</t>
  </si>
  <si>
    <t>สมศ. 16.2</t>
  </si>
  <si>
    <t>สมศ. 17</t>
  </si>
  <si>
    <t>สมศ. 13</t>
  </si>
  <si>
    <t>สมศ. 11</t>
  </si>
  <si>
    <t>องค์ประกอบที่ 7 การบริหารและการจัดการ (สมศ.) 1 ตัวบ่งชี้</t>
  </si>
  <si>
    <t>11
(สมศ.)</t>
  </si>
  <si>
    <t>การพัฒนาสุนทรียภาพในมิติทางศิลปะและวัฒนธรรม</t>
  </si>
  <si>
    <t>13
(สมศ.)</t>
  </si>
  <si>
    <t>การปฏิบัติตามบทบาทหน้าที่ของผู้บริหารสถาบัน</t>
  </si>
  <si>
    <r>
      <t></t>
    </r>
    <r>
      <rPr>
        <sz val="14"/>
        <color indexed="12"/>
        <rFont val="Cordia New"/>
        <family val="2"/>
      </rPr>
      <t xml:space="preserve"> คะแนนการประเมินการประกันคุณภาพภายในโดยต้นสังกัด</t>
    </r>
  </si>
  <si>
    <r>
      <t>ê</t>
    </r>
    <r>
      <rPr>
        <sz val="14"/>
        <color indexed="12"/>
        <rFont val="Cordia New"/>
        <family val="2"/>
      </rPr>
      <t xml:space="preserve"> การส่งเสริมและสนับสนุนด้านศิลปะและวัฒนธรรม </t>
    </r>
  </si>
  <si>
    <r>
      <t>ê</t>
    </r>
    <r>
      <rPr>
        <sz val="14"/>
        <color indexed="12"/>
        <rFont val="Cordia New"/>
        <family val="2"/>
      </rPr>
      <t xml:space="preserve"> การพัฒนาสุนทรียภาพในมิติทางศิลปะและวัฒนธรรม</t>
    </r>
  </si>
  <si>
    <r>
      <t>ê</t>
    </r>
    <r>
      <rPr>
        <sz val="14"/>
        <color indexed="12"/>
        <rFont val="Cordia New"/>
        <family val="2"/>
      </rPr>
      <t xml:space="preserve"> ผลการเรียนรู้และเสริมสร้างความเข้มแข็งของชุมชนหรือองค์กรภายนอก </t>
    </r>
  </si>
  <si>
    <r>
      <t>ê</t>
    </r>
    <r>
      <rPr>
        <sz val="14"/>
        <color indexed="12"/>
        <rFont val="Cordia New"/>
        <family val="2"/>
      </rPr>
      <t xml:space="preserve"> ผลการชี้นำ ป้องกัน หรือแก้ปัญหาของสังคมในด้านต่างๆ </t>
    </r>
  </si>
  <si>
    <r>
      <t></t>
    </r>
    <r>
      <rPr>
        <sz val="14"/>
        <color indexed="12"/>
        <rFont val="Cordia New"/>
        <family val="2"/>
      </rPr>
      <t xml:space="preserve"> จำนวนรวมของ</t>
    </r>
    <r>
      <rPr>
        <b/>
        <sz val="14"/>
        <color indexed="12"/>
        <rFont val="Cordia New"/>
        <family val="2"/>
      </rPr>
      <t>ผลงานวิชาการ</t>
    </r>
  </si>
  <si>
    <r>
      <t xml:space="preserve">      - บทความวิชาการ (ไม่ใช่บทความวิจัย) ที่ได้รับการตีพิมพ์ใน</t>
    </r>
    <r>
      <rPr>
        <b/>
        <sz val="14"/>
        <color indexed="12"/>
        <rFont val="Cordia New"/>
        <family val="2"/>
      </rPr>
      <t>วารสารระดับชาติ</t>
    </r>
  </si>
  <si>
    <r>
      <t xml:space="preserve">      - บทความวิชาการ (ไม่ใช่บทความวิจัย) ที่ได้รับการตีพิมพ์ในว</t>
    </r>
    <r>
      <rPr>
        <b/>
        <sz val="14"/>
        <color indexed="12"/>
        <rFont val="Cordia New"/>
        <family val="2"/>
      </rPr>
      <t>ารสารระดับนานาชาติ</t>
    </r>
  </si>
  <si>
    <r>
      <t></t>
    </r>
    <r>
      <rPr>
        <sz val="14"/>
        <color indexed="12"/>
        <rFont val="Cordia New"/>
        <family val="2"/>
      </rPr>
      <t xml:space="preserve"> จำนวนรวมของ</t>
    </r>
    <r>
      <rPr>
        <b/>
        <sz val="14"/>
        <color indexed="12"/>
        <rFont val="Cordia New"/>
        <family val="2"/>
      </rPr>
      <t xml:space="preserve">ผลงานวิจัยที่นำไปใช้ประโยชน์ภายนอกสถาบัน </t>
    </r>
  </si>
  <si>
    <r>
      <t xml:space="preserve">      -  จำนวนผลงานวิจัยที่นำไปใช้ประโยชน์ใน</t>
    </r>
    <r>
      <rPr>
        <b/>
        <sz val="14"/>
        <color indexed="12"/>
        <rFont val="Cordia New"/>
        <family val="2"/>
      </rPr>
      <t>เชิงวิชาการ</t>
    </r>
  </si>
  <si>
    <r>
      <t xml:space="preserve">      -  จำนวนผลงานวิจัยที่นำไปใช้ประโยชน์ใน</t>
    </r>
    <r>
      <rPr>
        <b/>
        <sz val="14"/>
        <color indexed="12"/>
        <rFont val="Cordia New"/>
        <family val="2"/>
      </rPr>
      <t>เชิงสาธารณะ</t>
    </r>
  </si>
  <si>
    <r>
      <t xml:space="preserve">      - จำนวนผลงานวิจัยที่นำไปใช้ประโยชน์ใน</t>
    </r>
    <r>
      <rPr>
        <b/>
        <sz val="14"/>
        <color indexed="12"/>
        <rFont val="Cordia New"/>
        <family val="2"/>
      </rPr>
      <t>เชิงนโยบาย หรือระดับประเทศ</t>
    </r>
  </si>
  <si>
    <r>
      <t xml:space="preserve">      - จำนวนผลงานวิจัยที่นำไปใช้ประโยชน์ใน</t>
    </r>
    <r>
      <rPr>
        <b/>
        <sz val="14"/>
        <color indexed="12"/>
        <rFont val="Cordia New"/>
        <family val="2"/>
      </rPr>
      <t>เชิงพาณิชย์</t>
    </r>
  </si>
  <si>
    <r>
      <t></t>
    </r>
    <r>
      <rPr>
        <sz val="14"/>
        <color indexed="12"/>
        <rFont val="Cordia New"/>
        <family val="2"/>
      </rPr>
      <t xml:space="preserve"> จำนวนรวมของ</t>
    </r>
    <r>
      <rPr>
        <b/>
        <sz val="14"/>
        <color indexed="12"/>
        <rFont val="Cordia New"/>
        <family val="2"/>
      </rPr>
      <t xml:space="preserve">ผลงานสร้างสรรค์ที่นำไปใช้ประโยชน์ภายนอกสถาบัน </t>
    </r>
  </si>
  <si>
    <r>
      <t xml:space="preserve">      -  จำนวนผลงานสร้างสรรค์ที่นำไปใช้ประโยชน์ใน</t>
    </r>
    <r>
      <rPr>
        <b/>
        <sz val="14"/>
        <color indexed="12"/>
        <rFont val="Cordia New"/>
        <family val="2"/>
      </rPr>
      <t>เชิงวิชาการ</t>
    </r>
  </si>
  <si>
    <r>
      <t xml:space="preserve">      -  จำนวนผลงานสร้างสรรค์ที่นำไปใช้ประโยชน์ใน</t>
    </r>
    <r>
      <rPr>
        <b/>
        <sz val="14"/>
        <color indexed="12"/>
        <rFont val="Cordia New"/>
        <family val="2"/>
      </rPr>
      <t>เชิงสาธารณะ</t>
    </r>
  </si>
  <si>
    <r>
      <t xml:space="preserve">      - จำนวนผลงานสร้างสรรค์ที่นำไปใช้ประโยชน์ใน</t>
    </r>
    <r>
      <rPr>
        <b/>
        <sz val="14"/>
        <color indexed="12"/>
        <rFont val="Cordia New"/>
        <family val="2"/>
      </rPr>
      <t>เชิงนโยบาย หรือระดับประเทศ</t>
    </r>
  </si>
  <si>
    <r>
      <t xml:space="preserve">      - จำนวนผลงานสร้างสรรค์ที่นำไปใช้ประโยชน์ใน</t>
    </r>
    <r>
      <rPr>
        <b/>
        <sz val="14"/>
        <color indexed="12"/>
        <rFont val="Cordia New"/>
        <family val="2"/>
      </rPr>
      <t>เชิงพาณิชย์</t>
    </r>
  </si>
  <si>
    <r>
      <t></t>
    </r>
    <r>
      <rPr>
        <b/>
        <sz val="14"/>
        <color indexed="12"/>
        <rFont val="Cordia New"/>
        <family val="2"/>
      </rPr>
      <t xml:space="preserve"> จำนวนรวมของผลงานสร้างสรรค์ที่เผยแพร่</t>
    </r>
  </si>
  <si>
    <r>
      <t xml:space="preserve">      - จำนวนผลงานสร้างสรรค์ที่ได้รับการเผยแพร่ในการจัดนิทรรศการ (Exihibition) หรือการจัดการแสดง (Performance) </t>
    </r>
    <r>
      <rPr>
        <b/>
        <sz val="14"/>
        <color indexed="12"/>
        <rFont val="Cordia New"/>
        <family val="2"/>
      </rPr>
      <t>ระดับสถาบันหรือจังหวัด</t>
    </r>
  </si>
  <si>
    <r>
      <t xml:space="preserve">      - จำนวนผลงานสร้างสรรค์ที่ได้รับการเผยแพร่ในการจัดนิทรรศการ (Exihibition) หรือการจัดการแสดง (Performance)</t>
    </r>
    <r>
      <rPr>
        <b/>
        <sz val="14"/>
        <color indexed="12"/>
        <rFont val="Cordia New"/>
        <family val="2"/>
      </rPr>
      <t xml:space="preserve"> ระดับชาติ</t>
    </r>
  </si>
  <si>
    <r>
      <t xml:space="preserve">      - จำนวนผลงานสร้างสรรค์ที่ได้รับการเผยแพร่ในการจัดนิทรรศการ (Exihibition) หรือการจัดการแสดง (Performance)</t>
    </r>
    <r>
      <rPr>
        <b/>
        <sz val="14"/>
        <color indexed="12"/>
        <rFont val="Cordia New"/>
        <family val="2"/>
      </rPr>
      <t xml:space="preserve"> ระดับความร่วมมือระหว่างประเทศ</t>
    </r>
  </si>
  <si>
    <r>
      <t xml:space="preserve">      - จำนวนผลงานสร้างสรรค์ที่ได้รับการเผยแพร่ในการจัดนิทรรศการ (Exihibition) หรือการจัดการแสดง (Performance) </t>
    </r>
    <r>
      <rPr>
        <b/>
        <sz val="14"/>
        <color indexed="12"/>
        <rFont val="Cordia New"/>
        <family val="2"/>
      </rPr>
      <t>ระดับภูมิภาคอาเซียน</t>
    </r>
  </si>
  <si>
    <r>
      <t xml:space="preserve">      - จำนวนผลงานสร้างสรรค์ที่ได้รับการเผยแพร่ในการจัดนิทรรศการ (Exihibition) หรือการจัดการแสดง (Performance) </t>
    </r>
    <r>
      <rPr>
        <b/>
        <sz val="14"/>
        <color indexed="12"/>
        <rFont val="Cordia New"/>
        <family val="2"/>
      </rPr>
      <t>ระดับนานาชาติ (ทั้งในและนอกประเทศ)</t>
    </r>
  </si>
  <si>
    <r>
      <t></t>
    </r>
    <r>
      <rPr>
        <b/>
        <sz val="14"/>
        <color indexed="12"/>
        <rFont val="Cordia New"/>
        <family val="2"/>
      </rPr>
      <t xml:space="preserve"> จำนวนรวมของบทความวิจัยที่ตีพิมพ์</t>
    </r>
  </si>
  <si>
    <r>
      <t xml:space="preserve">     - จำนวนผลงานวิจัยที่ตีพิมพ์เผยแพร่ใน</t>
    </r>
    <r>
      <rPr>
        <b/>
        <sz val="14"/>
        <color indexed="12"/>
        <rFont val="Cordia New"/>
        <family val="2"/>
      </rPr>
      <t>การประชุมวิชาการระดับชาติ</t>
    </r>
  </si>
  <si>
    <r>
      <t xml:space="preserve">     - จำนวนผลงานวิจัยที่ตีพิมพ์เผยแพร่</t>
    </r>
    <r>
      <rPr>
        <b/>
        <sz val="14"/>
        <color indexed="12"/>
        <rFont val="Cordia New"/>
        <family val="2"/>
      </rPr>
      <t>การประชุมวิชาการระดับนานาชาติ</t>
    </r>
  </si>
  <si>
    <r>
      <t xml:space="preserve">     - จำนวนผลงานวิจัยที่ตีพิมพ์เผยแพร่ว</t>
    </r>
    <r>
      <rPr>
        <b/>
        <sz val="14"/>
        <color indexed="12"/>
        <rFont val="Cordia New"/>
        <family val="2"/>
      </rPr>
      <t>ารสารวิชาการระดับชาติในฐานข้อมูล TCI</t>
    </r>
  </si>
  <si>
    <r>
      <t xml:space="preserve">     - จำนวนผลงานวิจัยที่ตีพิมพ์เผยแพร่ว</t>
    </r>
    <r>
      <rPr>
        <b/>
        <sz val="14"/>
        <color indexed="12"/>
        <rFont val="Cordia New"/>
        <family val="2"/>
      </rPr>
      <t>ารสารวิชาการระดับชาติที่ สกอ. รับรอง</t>
    </r>
  </si>
  <si>
    <r>
      <t xml:space="preserve">     - จำนวนผลงานวิจัยที่ตีพิมพ์เผยแพร่</t>
    </r>
    <r>
      <rPr>
        <b/>
        <sz val="14"/>
        <color indexed="12"/>
        <rFont val="Cordia New"/>
        <family val="2"/>
      </rPr>
      <t>วารสารวิชาการระดับนานาชาติที่ สกอ. รับรอง (ไม่รวม ISI)</t>
    </r>
  </si>
  <si>
    <r>
      <t xml:space="preserve">     - จำนวนผลงานวิจัยที่ตีพิมพ์เผยแพร่</t>
    </r>
    <r>
      <rPr>
        <b/>
        <sz val="14"/>
        <color indexed="12"/>
        <rFont val="Cordia New"/>
        <family val="2"/>
      </rPr>
      <t>วารสารวิชาการระดับนานาชาติในฐานข้อมูล ISI</t>
    </r>
  </si>
  <si>
    <r>
      <t></t>
    </r>
    <r>
      <rPr>
        <b/>
        <sz val="14"/>
        <color indexed="12"/>
        <rFont val="Cordia New"/>
        <family val="2"/>
      </rPr>
      <t xml:space="preserve"> ผลรวมค่าน้ำหนักระดับคุณภาพอาจารย์ 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</si>
  <si>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จำนวนรวมของ</t>
    </r>
    <r>
      <rPr>
        <b/>
        <sz val="14"/>
        <color indexed="12"/>
        <rFont val="Cordia New"/>
        <family val="2"/>
      </rPr>
      <t xml:space="preserve">บทความวิจัยจากวิทยานิพนธ์หรือการค้นคว้าอิสระ (สารนิพนธ์) ที่ตีพิมพ์เผยแพร่ </t>
    </r>
    <r>
      <rPr>
        <b/>
        <sz val="15"/>
        <color indexed="12"/>
        <rFont val="Cordia New"/>
        <family val="2"/>
      </rPr>
      <t>(ปริญญาโท)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</si>
  <si>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จำนวนรวมของ</t>
    </r>
    <r>
      <rPr>
        <b/>
        <sz val="14"/>
        <color indexed="12"/>
        <rFont val="Cordia New"/>
        <family val="2"/>
      </rPr>
      <t xml:space="preserve">ผลงานสร้างสรรค์จากศิลปนิพนธ์ที่เผยแพร่ </t>
    </r>
    <r>
      <rPr>
        <b/>
        <sz val="15"/>
        <color indexed="12"/>
        <rFont val="Cordia New"/>
        <family val="2"/>
      </rPr>
      <t xml:space="preserve">(ปริญญาโท) </t>
    </r>
    <r>
      <rPr>
        <b/>
        <sz val="14"/>
        <color indexed="12"/>
        <rFont val="Cordia New"/>
        <family val="2"/>
      </rPr>
      <t xml:space="preserve"> </t>
    </r>
  </si>
  <si>
    <r>
      <t></t>
    </r>
    <r>
      <rPr>
        <sz val="14"/>
        <color indexed="12"/>
        <rFont val="Cordia New"/>
        <family val="2"/>
      </rPr>
      <t xml:space="preserve"> จำนวนรวมของ</t>
    </r>
    <r>
      <rPr>
        <b/>
        <sz val="14"/>
        <color indexed="12"/>
        <rFont val="Cordia New"/>
        <family val="2"/>
      </rPr>
      <t xml:space="preserve">บทความวิจัยจากวิทยานิพนธ์ที่ตีพิมพ์เผยแพร่ </t>
    </r>
    <r>
      <rPr>
        <b/>
        <sz val="15"/>
        <color indexed="12"/>
        <rFont val="Cordia New"/>
        <family val="2"/>
      </rPr>
      <t xml:space="preserve">(ปริญญาเอก) 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</si>
  <si>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ระดับปริญญาตรีที่ได้รับการประเมินคุณภาพตามกรอบมาตรฐานคุณวุฒิระดับอุดมศึกษาแหล่งชาติ (แบ่งเป็น 2 กรณี)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</si>
  <si>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ระดับปริญญาโทที่ได้รับการประเมินคุณภาพตามกรอบมาตรฐานคุณวุฒิระดับอุดมศึกษาแหล่งชาติ (แบ่งเป็น 2 กรณี)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</si>
  <si>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ระดับปริญญาเอกที่ได้รับการประเมินคุณภาพตามกรอบมาตรฐานคุณวุฒิระดับอุดมศึกษาแหล่งชาติ (แบ่งเป็น 2 กรณี)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</si>
  <si>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ระดับปริญญาตรีทั้งหมด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</si>
  <si>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ระดับปริญญาตรีที่ตอบแบบสำรวจเรื่องการมีงานทำ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</si>
  <si>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ระดับปริญญาตรีที่ได้งานทำ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</si>
  <si>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ระดับปริญญาตรีที่ประกอบอาชีพอิสระ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</si>
  <si>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ระดับปริญญาตรีที่มีงานทำประจำก่อนเข้าศึกษา</t>
    </r>
  </si>
  <si>
    <r>
      <t></t>
    </r>
    <r>
      <rPr>
        <sz val="14"/>
        <color indexed="12"/>
        <rFont val="Cordia New"/>
        <family val="2"/>
      </rPr>
      <t xml:space="preserve"> 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ระดับปริญญาตรีที่ศึกษาต่อระดับผู้สำเร็จการศึกษา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</si>
  <si>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ระดับปริญญาโททั้งหมด (ภาคปกติและภาคพิเศษ)</t>
    </r>
  </si>
  <si>
    <r>
      <t></t>
    </r>
    <r>
      <rPr>
        <b/>
        <sz val="14"/>
        <color indexed="12"/>
        <rFont val="Cordia New"/>
        <family val="2"/>
      </rPr>
      <t xml:space="preserve"> </t>
    </r>
    <r>
      <rPr>
        <sz val="14"/>
        <color indexed="12"/>
        <rFont val="Cordia New"/>
        <family val="2"/>
      </rPr>
      <t>จำนวนผู้สำเร็จการศึกษา</t>
    </r>
    <r>
      <rPr>
        <b/>
        <sz val="14"/>
        <color indexed="12"/>
        <rFont val="Cordia New"/>
        <family val="2"/>
      </rPr>
      <t>ระดับปริญญาเอกทั้งหมด</t>
    </r>
  </si>
  <si>
    <r>
      <t></t>
    </r>
    <r>
      <rPr>
        <b/>
        <sz val="14"/>
        <color indexed="12"/>
        <rFont val="Cordia New"/>
        <family val="2"/>
      </rPr>
      <t xml:space="preserve"> เงินเดือนหรือรายได้ต่อเดือนของผู้สำเร็จการศึกษาระดับปริญญาตรีที่ได้งานทำหรือประกอบอาชีพอิสระ (ค่าเฉลี่ย)</t>
    </r>
  </si>
  <si>
    <r>
      <t>ê</t>
    </r>
    <r>
      <rPr>
        <sz val="14"/>
        <color indexed="12"/>
        <rFont val="Cordia New"/>
        <family val="2"/>
      </rPr>
      <t xml:space="preserve"> ผลการพัฒนาตามจุดเน้นและจุดเด่นที่ส่งผลสะท้อนเป็นเอกลักษณ์ของสถาบัน</t>
    </r>
  </si>
  <si>
    <t>องค์ประกอบที่ 1 ปรัชญา ปณิธาน วัตถุประสงค์และแผนดำเนินการ (สมศ.) 1 ตัวบ่งชี้</t>
  </si>
  <si>
    <t>16.2
(สมศ.)</t>
  </si>
  <si>
    <t>คะแนนเฉลี่ยภาพรวมตามตัวบ่งชี้ของ สมศ. (16 ตัวบ่งชี้)</t>
  </si>
  <si>
    <t xml:space="preserve">    - ตัวบ่งชี้ด้านอื่นๆ</t>
  </si>
  <si>
    <t xml:space="preserve">         - ระดับปริญญาโท  แผน ข (ภาคปกติ)</t>
  </si>
  <si>
    <t xml:space="preserve">         - ระดับปริญญาโท แผน ก (ภาคปกติ) </t>
  </si>
  <si>
    <t xml:space="preserve">         - ระดับปริญญาโท แผน ก (ภาคพิเศษ) </t>
  </si>
  <si>
    <t xml:space="preserve">         - ระดับปริญญาโท แผน ข (ภาคพิเศษ) </t>
  </si>
  <si>
    <r>
      <t xml:space="preserve">    -  ผลการประเมินโดย Exit Exam ในกลุ่มสาขาวิชาชีพที่จบการศึกษาตามกรอบ TQF เฉลี่ย (คะแนนเต็ม 5) </t>
    </r>
    <r>
      <rPr>
        <sz val="14"/>
        <color indexed="10"/>
        <rFont val="Cordia New"/>
        <family val="2"/>
      </rPr>
      <t>(ไม่มีข้อมูล)</t>
    </r>
  </si>
  <si>
    <r>
      <t></t>
    </r>
    <r>
      <rPr>
        <sz val="14"/>
        <rFont val="Cordia New"/>
        <family val="2"/>
      </rPr>
      <t xml:space="preserve"> ผลการประเมินความพึงพอใจของผู้เรียนในเรื่องคุณภาพการสอน และสิ่งสนับสนุนการเรียนรู้ (เทียบจากค่า 5 ระดับ) เฉลี่ยทุกรายวิชาในแต่ละหลักสูตรแยกตามระดับปริญญา</t>
    </r>
  </si>
  <si>
    <t>7.4 ข้อ 2</t>
  </si>
  <si>
    <r>
      <t>ê</t>
    </r>
    <r>
      <rPr>
        <sz val="14"/>
        <color indexed="12"/>
        <rFont val="Cordia New"/>
        <family val="2"/>
      </rPr>
      <t xml:space="preserve"> คะแนนเฉลี่ยการประเมินผลผู้บริหารโดยคณะกรรมการที่คณะกรรมการประจำคณะแต่งตั้ง</t>
    </r>
  </si>
  <si>
    <r>
      <t></t>
    </r>
    <r>
      <rPr>
        <sz val="14"/>
        <color indexed="10"/>
        <rFont val="Cordia New"/>
        <family val="2"/>
      </rPr>
      <t xml:space="preserve"> ร้อยละของบัณฑิตที่ได้รับการประเมินจากผู้ใช้บัณฑิตว่ามีคุณลักษณะที่สะท้อนถึงอัตลักษณ์ตามปรัชญา ปณิธาน วิสัยทัศน์ พันธกิจและวัตถุประสงค์ของสถาบันอุดมศึกษา</t>
    </r>
  </si>
  <si>
    <t>ร้อยละของบัณฑิตที่ได้รับการประเมินจากผู้ใช้บัณฑิตว่ามีคุณลักษณะที่สะท้อนถึงอัตกลักษณ์ตามปรัชญา ปณิธาน พันธกิจและวัตถุประสงค์ของสถาบันอุดมศึกษา</t>
  </si>
  <si>
    <r>
      <rPr>
        <b/>
        <sz val="10"/>
        <rFont val="Cordia New"/>
        <family val="2"/>
      </rPr>
      <t xml:space="preserve">     -  </t>
    </r>
    <r>
      <rPr>
        <b/>
        <sz val="14"/>
        <rFont val="Cordia New"/>
        <family val="2"/>
      </rPr>
      <t>ระดับปริญญาโทที่เปิดสอนทั้งหมด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</si>
</sst>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000"/>
    <numFmt numFmtId="185" formatCode="#,##0.00_ ;\-#,##0.00\ "/>
    <numFmt numFmtId="186" formatCode="#,##0.0"/>
    <numFmt numFmtId="187" formatCode="0.000%"/>
    <numFmt numFmtId="188" formatCode="0.000"/>
    <numFmt numFmtId="189" formatCode="0.00000"/>
    <numFmt numFmtId="190" formatCode="0.0"/>
    <numFmt numFmtId="191" formatCode="0.0%"/>
    <numFmt numFmtId="192" formatCode="0.00000000"/>
    <numFmt numFmtId="193" formatCode="0.0000000"/>
    <numFmt numFmtId="194" formatCode="0.000000"/>
  </numFmts>
  <fonts count="105">
    <font>
      <sz val="10"/>
      <name val="Arial"/>
      <family val="0"/>
    </font>
    <font>
      <sz val="8"/>
      <name val="Arial"/>
      <family val="2"/>
    </font>
    <font>
      <b/>
      <sz val="14"/>
      <name val="Cordia New"/>
      <family val="2"/>
    </font>
    <font>
      <sz val="14"/>
      <name val="Arial"/>
      <family val="2"/>
    </font>
    <font>
      <sz val="14"/>
      <name val="Wingdings 2"/>
      <family val="1"/>
    </font>
    <font>
      <sz val="14"/>
      <name val="Cordia New"/>
      <family val="2"/>
    </font>
    <font>
      <sz val="14"/>
      <name val="Angsana New"/>
      <family val="1"/>
    </font>
    <font>
      <b/>
      <sz val="18"/>
      <name val="Cordia New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3"/>
      <name val="Angsana New"/>
      <family val="1"/>
    </font>
    <font>
      <sz val="10"/>
      <name val="Tahoma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sz val="16"/>
      <color indexed="10"/>
      <name val="Browallia New"/>
      <family val="2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10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0"/>
      <name val="Cordia New"/>
      <family val="2"/>
    </font>
    <font>
      <b/>
      <sz val="14"/>
      <name val="Wingdings 2"/>
      <family val="1"/>
    </font>
    <font>
      <b/>
      <sz val="13"/>
      <name val="Cordia New"/>
      <family val="2"/>
    </font>
    <font>
      <sz val="12"/>
      <name val="Cordia New"/>
      <family val="2"/>
    </font>
    <font>
      <b/>
      <sz val="20"/>
      <name val="Angsana New"/>
      <family val="1"/>
    </font>
    <font>
      <b/>
      <sz val="18"/>
      <name val="TH SarabunPSK"/>
      <family val="2"/>
    </font>
    <font>
      <sz val="20"/>
      <name val="TH SarabunPSK"/>
      <family val="2"/>
    </font>
    <font>
      <b/>
      <sz val="18"/>
      <name val="Browallia New"/>
      <family val="2"/>
    </font>
    <font>
      <b/>
      <sz val="15"/>
      <name val="Browallia New"/>
      <family val="2"/>
    </font>
    <font>
      <b/>
      <sz val="20"/>
      <name val="Browallia New"/>
      <family val="2"/>
    </font>
    <font>
      <sz val="9"/>
      <name val="Tahoma"/>
      <family val="2"/>
    </font>
    <font>
      <sz val="12"/>
      <name val="Angsana New"/>
      <family val="1"/>
    </font>
    <font>
      <sz val="16"/>
      <name val="Arial"/>
      <family val="2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b/>
      <sz val="15"/>
      <color indexed="12"/>
      <name val="Cordia New"/>
      <family val="2"/>
    </font>
    <font>
      <sz val="15"/>
      <name val="Browallia New"/>
      <family val="2"/>
    </font>
    <font>
      <b/>
      <sz val="15"/>
      <name val="TH SarabunPSK"/>
      <family val="2"/>
    </font>
    <font>
      <sz val="14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12"/>
      <name val="Angsana New"/>
      <family val="1"/>
    </font>
    <font>
      <sz val="16"/>
      <color indexed="12"/>
      <name val="Angsana New"/>
      <family val="1"/>
    </font>
    <font>
      <sz val="16"/>
      <color indexed="12"/>
      <name val="Arial"/>
      <family val="2"/>
    </font>
    <font>
      <sz val="15"/>
      <color indexed="12"/>
      <name val="Angsana New"/>
      <family val="1"/>
    </font>
    <font>
      <sz val="16"/>
      <color indexed="9"/>
      <name val="Angsana New"/>
      <family val="1"/>
    </font>
    <font>
      <b/>
      <sz val="16"/>
      <color indexed="10"/>
      <name val="TH SarabunPSK"/>
      <family val="2"/>
    </font>
    <font>
      <sz val="14"/>
      <color indexed="12"/>
      <name val="Wingdings 2"/>
      <family val="1"/>
    </font>
    <font>
      <sz val="16"/>
      <color indexed="22"/>
      <name val="Angsana New"/>
      <family val="1"/>
    </font>
    <font>
      <b/>
      <sz val="14"/>
      <color indexed="12"/>
      <name val="Wingdings 2"/>
      <family val="1"/>
    </font>
    <font>
      <sz val="14"/>
      <color indexed="10"/>
      <name val="Wingdings 2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00FF"/>
      <name val="Angsana New"/>
      <family val="1"/>
    </font>
    <font>
      <sz val="16"/>
      <color rgb="FF0000FF"/>
      <name val="Angsana New"/>
      <family val="1"/>
    </font>
    <font>
      <sz val="16"/>
      <color rgb="FF0000FF"/>
      <name val="Arial"/>
      <family val="2"/>
    </font>
    <font>
      <sz val="15"/>
      <color rgb="FF0000FF"/>
      <name val="Angsana New"/>
      <family val="1"/>
    </font>
    <font>
      <sz val="16"/>
      <color theme="0"/>
      <name val="Angsana New"/>
      <family val="1"/>
    </font>
    <font>
      <b/>
      <sz val="16"/>
      <color rgb="FFFF0000"/>
      <name val="TH SarabunPSK"/>
      <family val="2"/>
    </font>
    <font>
      <sz val="14"/>
      <color rgb="FF0000FF"/>
      <name val="Cordia New"/>
      <family val="2"/>
    </font>
    <font>
      <sz val="14"/>
      <color rgb="FF0000FF"/>
      <name val="Wingdings 2"/>
      <family val="1"/>
    </font>
    <font>
      <sz val="16"/>
      <color theme="0" tint="-0.04997999966144562"/>
      <name val="Angsana New"/>
      <family val="1"/>
    </font>
    <font>
      <b/>
      <sz val="14"/>
      <color rgb="FF0000FF"/>
      <name val="Wingdings 2"/>
      <family val="1"/>
    </font>
    <font>
      <sz val="14"/>
      <color rgb="FFFF0000"/>
      <name val="Cordia New"/>
      <family val="2"/>
    </font>
    <font>
      <sz val="14"/>
      <color rgb="FFFF0000"/>
      <name val="Wingdings 2"/>
      <family val="1"/>
    </font>
    <font>
      <sz val="16"/>
      <color rgb="FFFF0000"/>
      <name val="Angsana New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1" borderId="2" applyNumberFormat="0" applyAlignment="0" applyProtection="0"/>
    <xf numFmtId="0" fontId="81" fillId="0" borderId="3" applyNumberFormat="0" applyFill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7" fillId="20" borderId="5" applyNumberFormat="0" applyAlignment="0" applyProtection="0"/>
    <xf numFmtId="0" fontId="0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0" fontId="12" fillId="0" borderId="16" xfId="49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36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4" fillId="35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 vertical="top"/>
    </xf>
    <xf numFmtId="2" fontId="14" fillId="36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2" fontId="15" fillId="0" borderId="0" xfId="0" applyNumberFormat="1" applyFont="1" applyAlignment="1">
      <alignment vertical="top" wrapText="1"/>
    </xf>
    <xf numFmtId="2" fontId="15" fillId="0" borderId="0" xfId="0" applyNumberFormat="1" applyFont="1" applyAlignment="1">
      <alignment horizontal="center" vertical="top" wrapText="1"/>
    </xf>
    <xf numFmtId="2" fontId="15" fillId="37" borderId="1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34" borderId="17" xfId="0" applyFont="1" applyFill="1" applyBorder="1" applyAlignment="1">
      <alignment vertical="top"/>
    </xf>
    <xf numFmtId="0" fontId="8" fillId="34" borderId="12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4" fillId="37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8" fillId="34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188" fontId="12" fillId="0" borderId="10" xfId="0" applyNumberFormat="1" applyFont="1" applyBorder="1" applyAlignment="1">
      <alignment horizontal="center" vertical="top" wrapText="1"/>
    </xf>
    <xf numFmtId="188" fontId="11" fillId="34" borderId="10" xfId="0" applyNumberFormat="1" applyFont="1" applyFill="1" applyBorder="1" applyAlignment="1">
      <alignment horizontal="center" vertical="top" wrapText="1"/>
    </xf>
    <xf numFmtId="188" fontId="8" fillId="34" borderId="10" xfId="0" applyNumberFormat="1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188" fontId="91" fillId="0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4" fontId="5" fillId="7" borderId="10" xfId="0" applyNumberFormat="1" applyFont="1" applyFill="1" applyBorder="1" applyAlignment="1">
      <alignment horizontal="center" vertical="top" wrapText="1"/>
    </xf>
    <xf numFmtId="4" fontId="12" fillId="7" borderId="10" xfId="0" applyNumberFormat="1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188" fontId="12" fillId="7" borderId="10" xfId="0" applyNumberFormat="1" applyFont="1" applyFill="1" applyBorder="1" applyAlignment="1">
      <alignment horizontal="center" vertical="top" wrapText="1"/>
    </xf>
    <xf numFmtId="188" fontId="91" fillId="7" borderId="10" xfId="0" applyNumberFormat="1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vertical="top" wrapText="1"/>
    </xf>
    <xf numFmtId="0" fontId="12" fillId="7" borderId="10" xfId="0" applyFont="1" applyFill="1" applyBorder="1" applyAlignment="1">
      <alignment vertical="top" wrapText="1"/>
    </xf>
    <xf numFmtId="0" fontId="8" fillId="1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top" wrapText="1"/>
    </xf>
    <xf numFmtId="1" fontId="22" fillId="0" borderId="0" xfId="0" applyNumberFormat="1" applyFont="1" applyFill="1" applyBorder="1" applyAlignment="1">
      <alignment horizontal="center" vertical="top"/>
    </xf>
    <xf numFmtId="0" fontId="22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14" fillId="3" borderId="10" xfId="0" applyNumberFormat="1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2" fontId="14" fillId="10" borderId="10" xfId="0" applyNumberFormat="1" applyFont="1" applyFill="1" applyBorder="1" applyAlignment="1">
      <alignment horizontal="center" vertical="top" wrapText="1"/>
    </xf>
    <xf numFmtId="1" fontId="14" fillId="35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" fontId="15" fillId="10" borderId="10" xfId="0" applyNumberFormat="1" applyFont="1" applyFill="1" applyBorder="1" applyAlignment="1">
      <alignment horizontal="center" vertical="top" wrapText="1"/>
    </xf>
    <xf numFmtId="2" fontId="15" fillId="10" borderId="10" xfId="0" applyNumberFormat="1" applyFont="1" applyFill="1" applyBorder="1" applyAlignment="1">
      <alignment horizontal="center" vertical="top" wrapText="1"/>
    </xf>
    <xf numFmtId="2" fontId="23" fillId="10" borderId="10" xfId="0" applyNumberFormat="1" applyFont="1" applyFill="1" applyBorder="1" applyAlignment="1">
      <alignment horizontal="center" vertical="top" wrapText="1"/>
    </xf>
    <xf numFmtId="1" fontId="23" fillId="1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2" fontId="14" fillId="7" borderId="10" xfId="0" applyNumberFormat="1" applyFont="1" applyFill="1" applyBorder="1" applyAlignment="1">
      <alignment horizontal="center" vertical="top" wrapText="1"/>
    </xf>
    <xf numFmtId="2" fontId="15" fillId="7" borderId="10" xfId="0" applyNumberFormat="1" applyFont="1" applyFill="1" applyBorder="1" applyAlignment="1">
      <alignment horizontal="center" vertical="top" wrapText="1"/>
    </xf>
    <xf numFmtId="2" fontId="23" fillId="7" borderId="10" xfId="0" applyNumberFormat="1" applyFont="1" applyFill="1" applyBorder="1" applyAlignment="1">
      <alignment horizontal="center" vertical="top" wrapText="1"/>
    </xf>
    <xf numFmtId="1" fontId="23" fillId="7" borderId="10" xfId="0" applyNumberFormat="1" applyFont="1" applyFill="1" applyBorder="1" applyAlignment="1">
      <alignment horizontal="center" vertical="top" wrapText="1"/>
    </xf>
    <xf numFmtId="2" fontId="22" fillId="7" borderId="10" xfId="0" applyNumberFormat="1" applyFont="1" applyFill="1" applyBorder="1" applyAlignment="1">
      <alignment horizontal="center" vertical="top" wrapText="1"/>
    </xf>
    <xf numFmtId="2" fontId="22" fillId="10" borderId="10" xfId="0" applyNumberFormat="1" applyFont="1" applyFill="1" applyBorder="1" applyAlignment="1">
      <alignment horizontal="center" vertical="top" wrapText="1"/>
    </xf>
    <xf numFmtId="0" fontId="22" fillId="3" borderId="10" xfId="0" applyFont="1" applyFill="1" applyBorder="1" applyAlignment="1">
      <alignment vertical="top"/>
    </xf>
    <xf numFmtId="2" fontId="22" fillId="3" borderId="10" xfId="0" applyNumberFormat="1" applyFont="1" applyFill="1" applyBorder="1" applyAlignment="1">
      <alignment horizontal="center" vertical="top" wrapText="1"/>
    </xf>
    <xf numFmtId="0" fontId="17" fillId="39" borderId="17" xfId="0" applyFont="1" applyFill="1" applyBorder="1" applyAlignment="1">
      <alignment horizontal="center" vertical="top" wrapText="1"/>
    </xf>
    <xf numFmtId="0" fontId="16" fillId="39" borderId="10" xfId="0" applyFont="1" applyFill="1" applyBorder="1" applyAlignment="1">
      <alignment horizontal="center" vertical="top" wrapText="1"/>
    </xf>
    <xf numFmtId="2" fontId="14" fillId="37" borderId="10" xfId="0" applyNumberFormat="1" applyFont="1" applyFill="1" applyBorder="1" applyAlignment="1">
      <alignment horizontal="center" vertical="top" wrapText="1"/>
    </xf>
    <xf numFmtId="0" fontId="19" fillId="15" borderId="13" xfId="0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188" fontId="19" fillId="3" borderId="10" xfId="0" applyNumberFormat="1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2" fontId="19" fillId="15" borderId="10" xfId="0" applyNumberFormat="1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92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92" fillId="0" borderId="15" xfId="0" applyFont="1" applyFill="1" applyBorder="1" applyAlignment="1">
      <alignment horizontal="center" vertical="top" wrapText="1"/>
    </xf>
    <xf numFmtId="188" fontId="93" fillId="0" borderId="15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vertical="top" wrapText="1"/>
    </xf>
    <xf numFmtId="188" fontId="91" fillId="0" borderId="14" xfId="0" applyNumberFormat="1" applyFont="1" applyBorder="1" applyAlignment="1">
      <alignment horizontal="center" vertical="top" wrapText="1"/>
    </xf>
    <xf numFmtId="188" fontId="91" fillId="7" borderId="14" xfId="0" applyNumberFormat="1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2" fontId="19" fillId="10" borderId="10" xfId="0" applyNumberFormat="1" applyFont="1" applyFill="1" applyBorder="1" applyAlignment="1">
      <alignment horizontal="center" vertical="top" wrapText="1"/>
    </xf>
    <xf numFmtId="188" fontId="92" fillId="0" borderId="10" xfId="0" applyNumberFormat="1" applyFont="1" applyFill="1" applyBorder="1" applyAlignment="1">
      <alignment horizontal="center" vertical="top" wrapText="1"/>
    </xf>
    <xf numFmtId="0" fontId="92" fillId="0" borderId="16" xfId="0" applyFont="1" applyFill="1" applyBorder="1" applyAlignment="1">
      <alignment vertical="top" wrapText="1"/>
    </xf>
    <xf numFmtId="4" fontId="92" fillId="0" borderId="16" xfId="0" applyNumberFormat="1" applyFont="1" applyFill="1" applyBorder="1" applyAlignment="1">
      <alignment vertical="top" wrapText="1"/>
    </xf>
    <xf numFmtId="0" fontId="92" fillId="0" borderId="15" xfId="0" applyFont="1" applyFill="1" applyBorder="1" applyAlignment="1">
      <alignment vertical="top" wrapText="1"/>
    </xf>
    <xf numFmtId="4" fontId="92" fillId="0" borderId="15" xfId="0" applyNumberFormat="1" applyFont="1" applyFill="1" applyBorder="1" applyAlignment="1">
      <alignment vertical="top" wrapText="1"/>
    </xf>
    <xf numFmtId="4" fontId="92" fillId="0" borderId="19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40" borderId="13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vertical="top" wrapText="1"/>
    </xf>
    <xf numFmtId="49" fontId="28" fillId="0" borderId="12" xfId="0" applyNumberFormat="1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40" borderId="22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 wrapText="1"/>
    </xf>
    <xf numFmtId="0" fontId="2" fillId="35" borderId="14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40" borderId="15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" fillId="37" borderId="14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37" borderId="20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7" borderId="17" xfId="0" applyFont="1" applyFill="1" applyBorder="1" applyAlignment="1">
      <alignment horizontal="center" vertical="top" wrapText="1"/>
    </xf>
    <xf numFmtId="49" fontId="28" fillId="0" borderId="17" xfId="0" applyNumberFormat="1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vertical="top" wrapText="1"/>
    </xf>
    <xf numFmtId="0" fontId="5" fillId="40" borderId="24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7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92" fillId="0" borderId="16" xfId="0" applyFont="1" applyFill="1" applyBorder="1" applyAlignment="1">
      <alignment horizontal="center" vertical="top" wrapText="1"/>
    </xf>
    <xf numFmtId="0" fontId="92" fillId="0" borderId="15" xfId="0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vertical="top" wrapText="1"/>
    </xf>
    <xf numFmtId="0" fontId="16" fillId="39" borderId="1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7" borderId="15" xfId="0" applyNumberFormat="1" applyFont="1" applyFill="1" applyBorder="1" applyAlignment="1">
      <alignment horizontal="center" vertical="top" wrapText="1"/>
    </xf>
    <xf numFmtId="0" fontId="8" fillId="9" borderId="10" xfId="0" applyFont="1" applyFill="1" applyBorder="1" applyAlignment="1">
      <alignment horizontal="center" vertical="top" wrapText="1"/>
    </xf>
    <xf numFmtId="2" fontId="19" fillId="9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94" fillId="0" borderId="13" xfId="0" applyFont="1" applyBorder="1" applyAlignment="1">
      <alignment vertical="top" wrapText="1"/>
    </xf>
    <xf numFmtId="0" fontId="94" fillId="0" borderId="10" xfId="0" applyFont="1" applyFill="1" applyBorder="1" applyAlignment="1">
      <alignment horizontal="center" vertical="top" wrapText="1"/>
    </xf>
    <xf numFmtId="4" fontId="94" fillId="0" borderId="10" xfId="0" applyNumberFormat="1" applyFont="1" applyFill="1" applyBorder="1" applyAlignment="1">
      <alignment horizontal="center" vertical="top" wrapText="1"/>
    </xf>
    <xf numFmtId="4" fontId="94" fillId="0" borderId="13" xfId="0" applyNumberFormat="1" applyFont="1" applyFill="1" applyBorder="1" applyAlignment="1">
      <alignment horizontal="center" vertical="top" wrapText="1"/>
    </xf>
    <xf numFmtId="4" fontId="94" fillId="0" borderId="17" xfId="0" applyNumberFormat="1" applyFont="1" applyFill="1" applyBorder="1" applyAlignment="1">
      <alignment horizontal="center" vertical="top" wrapText="1"/>
    </xf>
    <xf numFmtId="0" fontId="94" fillId="0" borderId="24" xfId="0" applyFont="1" applyBorder="1" applyAlignment="1">
      <alignment vertical="top" wrapText="1"/>
    </xf>
    <xf numFmtId="0" fontId="94" fillId="0" borderId="15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left" vertical="top" wrapText="1"/>
    </xf>
    <xf numFmtId="188" fontId="95" fillId="40" borderId="1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1" fontId="96" fillId="0" borderId="0" xfId="0" applyNumberFormat="1" applyFont="1" applyFill="1" applyBorder="1" applyAlignment="1">
      <alignment horizontal="center" vertical="top" wrapText="1"/>
    </xf>
    <xf numFmtId="2" fontId="23" fillId="5" borderId="10" xfId="0" applyNumberFormat="1" applyFont="1" applyFill="1" applyBorder="1" applyAlignment="1">
      <alignment horizontal="center" vertical="top" wrapText="1"/>
    </xf>
    <xf numFmtId="2" fontId="22" fillId="5" borderId="10" xfId="0" applyNumberFormat="1" applyFont="1" applyFill="1" applyBorder="1" applyAlignment="1">
      <alignment horizontal="center" vertical="top" wrapText="1"/>
    </xf>
    <xf numFmtId="1" fontId="23" fillId="5" borderId="10" xfId="0" applyNumberFormat="1" applyFont="1" applyFill="1" applyBorder="1" applyAlignment="1">
      <alignment horizontal="center" vertical="top" wrapText="1"/>
    </xf>
    <xf numFmtId="1" fontId="35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 wrapText="1"/>
    </xf>
    <xf numFmtId="2" fontId="14" fillId="5" borderId="10" xfId="0" applyNumberFormat="1" applyFont="1" applyFill="1" applyBorder="1" applyAlignment="1">
      <alignment horizontal="center" vertical="top" wrapText="1"/>
    </xf>
    <xf numFmtId="2" fontId="15" fillId="5" borderId="10" xfId="0" applyNumberFormat="1" applyFont="1" applyFill="1" applyBorder="1" applyAlignment="1">
      <alignment horizontal="center" vertical="top" wrapText="1"/>
    </xf>
    <xf numFmtId="1" fontId="15" fillId="3" borderId="10" xfId="0" applyNumberFormat="1" applyFont="1" applyFill="1" applyBorder="1" applyAlignment="1">
      <alignment horizontal="center" vertical="top" wrapText="1"/>
    </xf>
    <xf numFmtId="1" fontId="15" fillId="5" borderId="10" xfId="0" applyNumberFormat="1" applyFont="1" applyFill="1" applyBorder="1" applyAlignment="1">
      <alignment horizontal="center" vertical="top" wrapText="1"/>
    </xf>
    <xf numFmtId="0" fontId="92" fillId="0" borderId="14" xfId="0" applyFont="1" applyFill="1" applyBorder="1" applyAlignment="1">
      <alignment horizontal="center" vertical="top" wrapText="1"/>
    </xf>
    <xf numFmtId="0" fontId="92" fillId="0" borderId="15" xfId="0" applyFont="1" applyFill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49" fontId="98" fillId="0" borderId="10" xfId="0" applyNumberFormat="1" applyFont="1" applyBorder="1" applyAlignment="1">
      <alignment vertical="top" wrapText="1"/>
    </xf>
    <xf numFmtId="0" fontId="97" fillId="0" borderId="15" xfId="0" applyFont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top" wrapText="1"/>
    </xf>
    <xf numFmtId="188" fontId="99" fillId="40" borderId="10" xfId="0" applyNumberFormat="1" applyFont="1" applyFill="1" applyBorder="1" applyAlignment="1">
      <alignment horizontal="center" vertical="top" wrapText="1"/>
    </xf>
    <xf numFmtId="0" fontId="92" fillId="0" borderId="21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horizontal="center" vertical="top" wrapText="1"/>
    </xf>
    <xf numFmtId="49" fontId="92" fillId="0" borderId="21" xfId="0" applyNumberFormat="1" applyFont="1" applyFill="1" applyBorder="1" applyAlignment="1">
      <alignment vertical="top" wrapText="1"/>
    </xf>
    <xf numFmtId="187" fontId="92" fillId="0" borderId="10" xfId="49" applyNumberFormat="1" applyFont="1" applyFill="1" applyBorder="1" applyAlignment="1">
      <alignment horizontal="center" vertical="top" wrapText="1"/>
    </xf>
    <xf numFmtId="1" fontId="92" fillId="0" borderId="13" xfId="0" applyNumberFormat="1" applyFont="1" applyFill="1" applyBorder="1" applyAlignment="1">
      <alignment horizontal="center" vertical="top" wrapText="1"/>
    </xf>
    <xf numFmtId="10" fontId="92" fillId="0" borderId="10" xfId="49" applyNumberFormat="1" applyFont="1" applyFill="1" applyBorder="1" applyAlignment="1">
      <alignment horizontal="center" vertical="top" wrapText="1"/>
    </xf>
    <xf numFmtId="0" fontId="97" fillId="0" borderId="16" xfId="0" applyFont="1" applyBorder="1" applyAlignment="1">
      <alignment horizontal="center" vertical="top" wrapText="1"/>
    </xf>
    <xf numFmtId="49" fontId="98" fillId="0" borderId="13" xfId="0" applyNumberFormat="1" applyFont="1" applyBorder="1" applyAlignment="1">
      <alignment vertical="top" wrapText="1"/>
    </xf>
    <xf numFmtId="49" fontId="97" fillId="0" borderId="13" xfId="0" applyNumberFormat="1" applyFont="1" applyBorder="1" applyAlignment="1">
      <alignment vertical="top" wrapText="1"/>
    </xf>
    <xf numFmtId="49" fontId="97" fillId="0" borderId="24" xfId="0" applyNumberFormat="1" applyFont="1" applyBorder="1" applyAlignment="1">
      <alignment vertical="top" wrapText="1"/>
    </xf>
    <xf numFmtId="49" fontId="100" fillId="0" borderId="13" xfId="0" applyNumberFormat="1" applyFont="1" applyBorder="1" applyAlignment="1">
      <alignment vertical="top" wrapText="1"/>
    </xf>
    <xf numFmtId="49" fontId="100" fillId="0" borderId="12" xfId="0" applyNumberFormat="1" applyFont="1" applyBorder="1" applyAlignment="1">
      <alignment vertical="top" wrapText="1"/>
    </xf>
    <xf numFmtId="49" fontId="97" fillId="0" borderId="12" xfId="0" applyNumberFormat="1" applyFont="1" applyBorder="1" applyAlignment="1">
      <alignment vertical="top" wrapText="1"/>
    </xf>
    <xf numFmtId="49" fontId="97" fillId="0" borderId="18" xfId="0" applyNumberFormat="1" applyFont="1" applyBorder="1" applyAlignment="1">
      <alignment vertical="top" wrapText="1"/>
    </xf>
    <xf numFmtId="0" fontId="97" fillId="0" borderId="24" xfId="0" applyNumberFormat="1" applyFont="1" applyBorder="1" applyAlignment="1">
      <alignment vertical="top" wrapText="1"/>
    </xf>
    <xf numFmtId="0" fontId="97" fillId="0" borderId="17" xfId="0" applyFont="1" applyBorder="1" applyAlignment="1">
      <alignment horizontal="center" vertical="top" wrapText="1"/>
    </xf>
    <xf numFmtId="49" fontId="100" fillId="0" borderId="24" xfId="0" applyNumberFormat="1" applyFont="1" applyBorder="1" applyAlignment="1">
      <alignment vertical="top" wrapText="1"/>
    </xf>
    <xf numFmtId="0" fontId="97" fillId="0" borderId="21" xfId="0" applyFont="1" applyBorder="1" applyAlignment="1">
      <alignment horizontal="center" vertical="top" wrapText="1"/>
    </xf>
    <xf numFmtId="0" fontId="97" fillId="0" borderId="20" xfId="0" applyFont="1" applyBorder="1" applyAlignment="1">
      <alignment horizontal="center" vertical="top" wrapText="1"/>
    </xf>
    <xf numFmtId="49" fontId="98" fillId="0" borderId="12" xfId="0" applyNumberFormat="1" applyFont="1" applyBorder="1" applyAlignment="1">
      <alignment vertical="top" wrapText="1"/>
    </xf>
    <xf numFmtId="0" fontId="97" fillId="37" borderId="17" xfId="0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top" wrapText="1"/>
    </xf>
    <xf numFmtId="0" fontId="97" fillId="0" borderId="16" xfId="0" applyFont="1" applyBorder="1" applyAlignment="1">
      <alignment horizontal="center" vertical="top" wrapText="1"/>
    </xf>
    <xf numFmtId="0" fontId="97" fillId="0" borderId="15" xfId="0" applyFont="1" applyBorder="1" applyAlignment="1">
      <alignment horizontal="center" vertical="top" wrapText="1"/>
    </xf>
    <xf numFmtId="188" fontId="92" fillId="0" borderId="15" xfId="0" applyNumberFormat="1" applyFont="1" applyFill="1" applyBorder="1" applyAlignment="1">
      <alignment horizontal="center" vertical="top" wrapText="1"/>
    </xf>
    <xf numFmtId="0" fontId="92" fillId="0" borderId="15" xfId="0" applyFont="1" applyFill="1" applyBorder="1" applyAlignment="1">
      <alignment horizontal="center" vertical="top" wrapText="1"/>
    </xf>
    <xf numFmtId="1" fontId="16" fillId="35" borderId="10" xfId="0" applyNumberFormat="1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1" fontId="43" fillId="5" borderId="10" xfId="0" applyNumberFormat="1" applyFont="1" applyFill="1" applyBorder="1" applyAlignment="1">
      <alignment horizontal="center" vertical="top" wrapText="1"/>
    </xf>
    <xf numFmtId="1" fontId="43" fillId="7" borderId="10" xfId="0" applyNumberFormat="1" applyFont="1" applyFill="1" applyBorder="1" applyAlignment="1">
      <alignment horizontal="center" vertical="top" wrapText="1"/>
    </xf>
    <xf numFmtId="1" fontId="43" fillId="10" borderId="10" xfId="0" applyNumberFormat="1" applyFont="1" applyFill="1" applyBorder="1" applyAlignment="1">
      <alignment horizontal="center" vertical="top" wrapText="1"/>
    </xf>
    <xf numFmtId="1" fontId="44" fillId="35" borderId="1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top" wrapText="1"/>
    </xf>
    <xf numFmtId="4" fontId="94" fillId="0" borderId="21" xfId="0" applyNumberFormat="1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92" fillId="0" borderId="14" xfId="0" applyFont="1" applyFill="1" applyBorder="1" applyAlignment="1">
      <alignment vertical="top" wrapText="1"/>
    </xf>
    <xf numFmtId="187" fontId="92" fillId="0" borderId="15" xfId="49" applyNumberFormat="1" applyFont="1" applyFill="1" applyBorder="1" applyAlignment="1">
      <alignment horizontal="center" vertical="top" wrapText="1"/>
    </xf>
    <xf numFmtId="1" fontId="92" fillId="0" borderId="24" xfId="0" applyNumberFormat="1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top" wrapText="1"/>
    </xf>
    <xf numFmtId="0" fontId="97" fillId="0" borderId="16" xfId="0" applyFont="1" applyBorder="1" applyAlignment="1">
      <alignment horizontal="center" vertical="top" wrapText="1"/>
    </xf>
    <xf numFmtId="0" fontId="97" fillId="0" borderId="15" xfId="0" applyFont="1" applyBorder="1" applyAlignment="1">
      <alignment horizontal="center" vertical="top" wrapText="1"/>
    </xf>
    <xf numFmtId="0" fontId="101" fillId="0" borderId="15" xfId="0" applyFont="1" applyBorder="1" applyAlignment="1">
      <alignment horizontal="center" vertical="top" wrapText="1"/>
    </xf>
    <xf numFmtId="0" fontId="101" fillId="37" borderId="17" xfId="0" applyFont="1" applyFill="1" applyBorder="1" applyAlignment="1">
      <alignment horizontal="center" vertical="top" wrapText="1"/>
    </xf>
    <xf numFmtId="0" fontId="101" fillId="37" borderId="15" xfId="0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49" fontId="28" fillId="0" borderId="24" xfId="0" applyNumberFormat="1" applyFont="1" applyBorder="1" applyAlignment="1">
      <alignment vertical="top" wrapText="1"/>
    </xf>
    <xf numFmtId="49" fontId="102" fillId="0" borderId="10" xfId="0" applyNumberFormat="1" applyFont="1" applyBorder="1" applyAlignment="1">
      <alignment vertical="top" wrapText="1"/>
    </xf>
    <xf numFmtId="0" fontId="103" fillId="0" borderId="10" xfId="0" applyFont="1" applyFill="1" applyBorder="1" applyAlignment="1">
      <alignment horizontal="center" vertical="top" wrapText="1"/>
    </xf>
    <xf numFmtId="0" fontId="103" fillId="0" borderId="17" xfId="0" applyFont="1" applyFill="1" applyBorder="1" applyAlignment="1">
      <alignment horizontal="left" vertical="top" wrapText="1"/>
    </xf>
    <xf numFmtId="188" fontId="103" fillId="4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vertical="top" wrapText="1"/>
    </xf>
    <xf numFmtId="4" fontId="2" fillId="7" borderId="10" xfId="0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9" fillId="39" borderId="14" xfId="0" applyFont="1" applyFill="1" applyBorder="1" applyAlignment="1">
      <alignment horizontal="center" vertical="top" wrapText="1"/>
    </xf>
    <xf numFmtId="0" fontId="29" fillId="39" borderId="16" xfId="0" applyFont="1" applyFill="1" applyBorder="1" applyAlignment="1">
      <alignment horizontal="center" vertical="top" wrapText="1"/>
    </xf>
    <xf numFmtId="0" fontId="29" fillId="39" borderId="15" xfId="0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top" wrapText="1"/>
    </xf>
    <xf numFmtId="0" fontId="97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9" fillId="9" borderId="17" xfId="0" applyFont="1" applyFill="1" applyBorder="1" applyAlignment="1">
      <alignment horizontal="center" vertical="top" wrapText="1"/>
    </xf>
    <xf numFmtId="0" fontId="19" fillId="9" borderId="12" xfId="0" applyFont="1" applyFill="1" applyBorder="1" applyAlignment="1">
      <alignment horizontal="center" vertical="top" wrapText="1"/>
    </xf>
    <xf numFmtId="0" fontId="19" fillId="9" borderId="13" xfId="0" applyFont="1" applyFill="1" applyBorder="1" applyAlignment="1">
      <alignment horizontal="center" vertical="top" wrapText="1"/>
    </xf>
    <xf numFmtId="188" fontId="12" fillId="7" borderId="17" xfId="49" applyNumberFormat="1" applyFont="1" applyFill="1" applyBorder="1" applyAlignment="1">
      <alignment horizontal="center" vertical="top" wrapText="1"/>
    </xf>
    <xf numFmtId="188" fontId="12" fillId="7" borderId="13" xfId="49" applyNumberFormat="1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0" fontId="12" fillId="7" borderId="1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vertical="top" wrapText="1"/>
    </xf>
    <xf numFmtId="188" fontId="12" fillId="7" borderId="14" xfId="0" applyNumberFormat="1" applyFont="1" applyFill="1" applyBorder="1" applyAlignment="1">
      <alignment horizontal="center" vertical="top" wrapText="1"/>
    </xf>
    <xf numFmtId="188" fontId="12" fillId="7" borderId="15" xfId="0" applyNumberFormat="1" applyFont="1" applyFill="1" applyBorder="1" applyAlignment="1">
      <alignment horizontal="center" vertical="top" wrapText="1"/>
    </xf>
    <xf numFmtId="188" fontId="12" fillId="0" borderId="14" xfId="49" applyNumberFormat="1" applyFont="1" applyBorder="1" applyAlignment="1">
      <alignment horizontal="center" vertical="top" wrapText="1"/>
    </xf>
    <xf numFmtId="188" fontId="12" fillId="0" borderId="15" xfId="49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88" fontId="12" fillId="0" borderId="14" xfId="0" applyNumberFormat="1" applyFont="1" applyBorder="1" applyAlignment="1">
      <alignment horizontal="center" vertical="top" wrapText="1"/>
    </xf>
    <xf numFmtId="188" fontId="12" fillId="0" borderId="15" xfId="0" applyNumberFormat="1" applyFont="1" applyBorder="1" applyAlignment="1">
      <alignment horizontal="center" vertical="top" wrapText="1"/>
    </xf>
    <xf numFmtId="188" fontId="91" fillId="0" borderId="14" xfId="0" applyNumberFormat="1" applyFont="1" applyBorder="1" applyAlignment="1">
      <alignment horizontal="center" vertical="top" wrapText="1"/>
    </xf>
    <xf numFmtId="188" fontId="91" fillId="0" borderId="15" xfId="0" applyNumberFormat="1" applyFont="1" applyBorder="1" applyAlignment="1">
      <alignment horizontal="center" vertical="top" wrapText="1"/>
    </xf>
    <xf numFmtId="188" fontId="12" fillId="0" borderId="17" xfId="49" applyNumberFormat="1" applyFont="1" applyBorder="1" applyAlignment="1">
      <alignment horizontal="center" vertical="top" wrapText="1"/>
    </xf>
    <xf numFmtId="188" fontId="12" fillId="0" borderId="13" xfId="49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7" borderId="10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4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12" fillId="7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2" fillId="7" borderId="10" xfId="0" applyNumberFormat="1" applyFont="1" applyFill="1" applyBorder="1" applyAlignment="1">
      <alignment horizontal="center" vertical="top" wrapText="1"/>
    </xf>
    <xf numFmtId="188" fontId="91" fillId="7" borderId="14" xfId="0" applyNumberFormat="1" applyFont="1" applyFill="1" applyBorder="1" applyAlignment="1">
      <alignment horizontal="center" vertical="top" wrapText="1"/>
    </xf>
    <xf numFmtId="188" fontId="91" fillId="7" borderId="15" xfId="0" applyNumberFormat="1" applyFont="1" applyFill="1" applyBorder="1" applyAlignment="1">
      <alignment horizontal="center" vertical="top" wrapText="1"/>
    </xf>
    <xf numFmtId="188" fontId="12" fillId="7" borderId="14" xfId="49" applyNumberFormat="1" applyFont="1" applyFill="1" applyBorder="1" applyAlignment="1">
      <alignment horizontal="center" vertical="top" wrapText="1"/>
    </xf>
    <xf numFmtId="188" fontId="12" fillId="7" borderId="15" xfId="49" applyNumberFormat="1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9" fillId="10" borderId="17" xfId="0" applyFont="1" applyFill="1" applyBorder="1" applyAlignment="1">
      <alignment horizontal="center" vertical="top" wrapText="1"/>
    </xf>
    <xf numFmtId="0" fontId="19" fillId="10" borderId="12" xfId="0" applyFont="1" applyFill="1" applyBorder="1" applyAlignment="1">
      <alignment horizontal="center" vertical="top" wrapText="1"/>
    </xf>
    <xf numFmtId="0" fontId="19" fillId="10" borderId="1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19" fillId="3" borderId="17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95" fillId="40" borderId="17" xfId="0" applyFont="1" applyFill="1" applyBorder="1" applyAlignment="1">
      <alignment horizontal="center" vertical="top" wrapText="1"/>
    </xf>
    <xf numFmtId="0" fontId="95" fillId="4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188" fontId="25" fillId="0" borderId="14" xfId="0" applyNumberFormat="1" applyFont="1" applyFill="1" applyBorder="1" applyAlignment="1">
      <alignment horizontal="center" vertical="top" wrapText="1"/>
    </xf>
    <xf numFmtId="188" fontId="25" fillId="0" borderId="15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0" fontId="92" fillId="0" borderId="17" xfId="0" applyFont="1" applyFill="1" applyBorder="1" applyAlignment="1">
      <alignment horizontal="center" vertical="top" wrapText="1"/>
    </xf>
    <xf numFmtId="0" fontId="92" fillId="0" borderId="13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99" fillId="40" borderId="17" xfId="0" applyFont="1" applyFill="1" applyBorder="1" applyAlignment="1">
      <alignment horizontal="center" vertical="top" wrapText="1"/>
    </xf>
    <xf numFmtId="0" fontId="99" fillId="40" borderId="13" xfId="0" applyFont="1" applyFill="1" applyBorder="1" applyAlignment="1">
      <alignment horizontal="center" vertical="top" wrapText="1"/>
    </xf>
    <xf numFmtId="0" fontId="19" fillId="3" borderId="21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39" fillId="0" borderId="2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/>
    </xf>
    <xf numFmtId="0" fontId="92" fillId="0" borderId="14" xfId="0" applyFont="1" applyFill="1" applyBorder="1" applyAlignment="1">
      <alignment horizontal="center" vertical="top" wrapText="1"/>
    </xf>
    <xf numFmtId="0" fontId="92" fillId="0" borderId="15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left" vertical="top" wrapText="1"/>
    </xf>
    <xf numFmtId="0" fontId="25" fillId="42" borderId="14" xfId="0" applyFont="1" applyFill="1" applyBorder="1" applyAlignment="1">
      <alignment horizontal="center" vertical="top" wrapText="1"/>
    </xf>
    <xf numFmtId="0" fontId="25" fillId="42" borderId="15" xfId="0" applyFont="1" applyFill="1" applyBorder="1" applyAlignment="1">
      <alignment horizontal="center" vertical="top" wrapText="1"/>
    </xf>
    <xf numFmtId="188" fontId="92" fillId="0" borderId="14" xfId="0" applyNumberFormat="1" applyFont="1" applyFill="1" applyBorder="1" applyAlignment="1">
      <alignment horizontal="center" vertical="top" wrapText="1"/>
    </xf>
    <xf numFmtId="188" fontId="92" fillId="0" borderId="15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19" fillId="15" borderId="17" xfId="0" applyFont="1" applyFill="1" applyBorder="1" applyAlignment="1">
      <alignment horizontal="center" vertical="top" wrapText="1"/>
    </xf>
    <xf numFmtId="0" fontId="19" fillId="15" borderId="12" xfId="0" applyFont="1" applyFill="1" applyBorder="1" applyAlignment="1">
      <alignment horizontal="center" vertical="top" wrapText="1"/>
    </xf>
    <xf numFmtId="0" fontId="19" fillId="15" borderId="13" xfId="0" applyFont="1" applyFill="1" applyBorder="1" applyAlignment="1">
      <alignment horizontal="center" vertical="top" wrapText="1"/>
    </xf>
    <xf numFmtId="0" fontId="103" fillId="40" borderId="17" xfId="0" applyFont="1" applyFill="1" applyBorder="1" applyAlignment="1">
      <alignment horizontal="center" vertical="top" wrapText="1"/>
    </xf>
    <xf numFmtId="0" fontId="103" fillId="40" borderId="13" xfId="0" applyFont="1" applyFill="1" applyBorder="1" applyAlignment="1">
      <alignment horizontal="center" vertical="top" wrapText="1"/>
    </xf>
    <xf numFmtId="0" fontId="103" fillId="0" borderId="17" xfId="0" applyFont="1" applyFill="1" applyBorder="1" applyAlignment="1">
      <alignment horizontal="center" vertical="top" wrapText="1"/>
    </xf>
    <xf numFmtId="0" fontId="103" fillId="0" borderId="13" xfId="0" applyFont="1" applyFill="1" applyBorder="1" applyAlignment="1">
      <alignment horizontal="center" vertical="top" wrapText="1"/>
    </xf>
    <xf numFmtId="0" fontId="16" fillId="39" borderId="17" xfId="0" applyFont="1" applyFill="1" applyBorder="1" applyAlignment="1">
      <alignment horizontal="center" vertical="top" wrapText="1"/>
    </xf>
    <xf numFmtId="0" fontId="16" fillId="39" borderId="12" xfId="0" applyFont="1" applyFill="1" applyBorder="1" applyAlignment="1">
      <alignment horizontal="center" vertical="top" wrapText="1"/>
    </xf>
    <xf numFmtId="0" fontId="16" fillId="39" borderId="13" xfId="0" applyFont="1" applyFill="1" applyBorder="1" applyAlignment="1">
      <alignment horizontal="center" vertical="top" wrapText="1"/>
    </xf>
    <xf numFmtId="0" fontId="14" fillId="36" borderId="17" xfId="0" applyFont="1" applyFill="1" applyBorder="1" applyAlignment="1">
      <alignment horizontal="center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14" fillId="36" borderId="12" xfId="0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14" fillId="36" borderId="15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14" fillId="39" borderId="20" xfId="0" applyFont="1" applyFill="1" applyBorder="1" applyAlignment="1">
      <alignment horizontal="center" vertical="top" wrapText="1"/>
    </xf>
    <xf numFmtId="0" fontId="14" fillId="39" borderId="11" xfId="0" applyFont="1" applyFill="1" applyBorder="1" applyAlignment="1">
      <alignment horizontal="center" vertical="top" wrapText="1"/>
    </xf>
    <xf numFmtId="0" fontId="14" fillId="39" borderId="22" xfId="0" applyFont="1" applyFill="1" applyBorder="1" applyAlignment="1">
      <alignment horizontal="center" vertical="top" wrapText="1"/>
    </xf>
    <xf numFmtId="0" fontId="14" fillId="39" borderId="21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24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14" fillId="39" borderId="14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7" fillId="39" borderId="17" xfId="0" applyFont="1" applyFill="1" applyBorder="1" applyAlignment="1">
      <alignment horizontal="center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4" fillId="39" borderId="13" xfId="0" applyFont="1" applyFill="1" applyBorder="1" applyAlignment="1">
      <alignment horizontal="center" vertical="top" wrapText="1"/>
    </xf>
    <xf numFmtId="0" fontId="17" fillId="39" borderId="12" xfId="0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Percent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2"/>
  <sheetViews>
    <sheetView tabSelected="1" zoomScale="90" zoomScaleNormal="90" zoomScaleSheetLayoutView="80" zoomScalePageLayoutView="0" workbookViewId="0" topLeftCell="A1">
      <pane xSplit="3" ySplit="5" topLeftCell="D6" activePane="bottomRight" state="frozen"/>
      <selection pane="topLeft" activeCell="A398" sqref="A398:Q398"/>
      <selection pane="topRight" activeCell="A398" sqref="A398:Q398"/>
      <selection pane="bottomLeft" activeCell="A398" sqref="A398:Q398"/>
      <selection pane="bottomRight" activeCell="E12" sqref="E12"/>
    </sheetView>
  </sheetViews>
  <sheetFormatPr defaultColWidth="9.140625" defaultRowHeight="12.75"/>
  <cols>
    <col min="1" max="1" width="4.7109375" style="43" bestFit="1" customWidth="1"/>
    <col min="2" max="2" width="8.8515625" style="43" customWidth="1"/>
    <col min="3" max="3" width="48.28125" style="60" customWidth="1"/>
    <col min="4" max="5" width="12.00390625" style="1" customWidth="1"/>
    <col min="6" max="6" width="6.8515625" style="1" customWidth="1"/>
    <col min="7" max="7" width="11.7109375" style="19" bestFit="1" customWidth="1"/>
    <col min="8" max="8" width="6.8515625" style="19" bestFit="1" customWidth="1"/>
    <col min="9" max="9" width="8.57421875" style="19" customWidth="1"/>
    <col min="10" max="10" width="5.00390625" style="1" bestFit="1" customWidth="1"/>
    <col min="11" max="12" width="6.8515625" style="19" bestFit="1" customWidth="1"/>
    <col min="13" max="13" width="8.57421875" style="19" bestFit="1" customWidth="1"/>
    <col min="14" max="14" width="5.00390625" style="1" bestFit="1" customWidth="1"/>
    <col min="15" max="16" width="6.8515625" style="19" bestFit="1" customWidth="1"/>
    <col min="17" max="17" width="8.57421875" style="19" bestFit="1" customWidth="1"/>
    <col min="18" max="16384" width="9.140625" style="1" customWidth="1"/>
  </cols>
  <sheetData>
    <row r="1" spans="2:17" ht="26.25">
      <c r="B1" s="325" t="s">
        <v>101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6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1">
      <c r="A3" s="320" t="s">
        <v>46</v>
      </c>
      <c r="B3" s="324" t="s">
        <v>256</v>
      </c>
      <c r="C3" s="327" t="s">
        <v>0</v>
      </c>
      <c r="D3" s="320" t="s">
        <v>1</v>
      </c>
      <c r="E3" s="321" t="s">
        <v>254</v>
      </c>
      <c r="F3" s="328" t="s">
        <v>22</v>
      </c>
      <c r="G3" s="328"/>
      <c r="H3" s="328"/>
      <c r="I3" s="328"/>
      <c r="J3" s="320" t="s">
        <v>22</v>
      </c>
      <c r="K3" s="320"/>
      <c r="L3" s="320"/>
      <c r="M3" s="320"/>
      <c r="N3" s="326" t="s">
        <v>22</v>
      </c>
      <c r="O3" s="326"/>
      <c r="P3" s="326"/>
      <c r="Q3" s="326"/>
    </row>
    <row r="4" spans="1:17" ht="42">
      <c r="A4" s="320"/>
      <c r="B4" s="324"/>
      <c r="C4" s="327"/>
      <c r="D4" s="320"/>
      <c r="E4" s="322"/>
      <c r="F4" s="328" t="s">
        <v>2</v>
      </c>
      <c r="G4" s="328"/>
      <c r="H4" s="328"/>
      <c r="I4" s="184" t="s">
        <v>13</v>
      </c>
      <c r="J4" s="320" t="s">
        <v>140</v>
      </c>
      <c r="K4" s="320"/>
      <c r="L4" s="320"/>
      <c r="M4" s="183" t="s">
        <v>13</v>
      </c>
      <c r="N4" s="326" t="s">
        <v>140</v>
      </c>
      <c r="O4" s="326"/>
      <c r="P4" s="326"/>
      <c r="Q4" s="185" t="s">
        <v>13</v>
      </c>
    </row>
    <row r="5" spans="1:17" ht="21">
      <c r="A5" s="320"/>
      <c r="B5" s="324"/>
      <c r="C5" s="327"/>
      <c r="D5" s="320"/>
      <c r="E5" s="323"/>
      <c r="F5" s="184">
        <v>2551</v>
      </c>
      <c r="G5" s="184">
        <v>2552</v>
      </c>
      <c r="H5" s="184">
        <v>2553</v>
      </c>
      <c r="I5" s="184">
        <v>2553</v>
      </c>
      <c r="J5" s="183">
        <v>2551</v>
      </c>
      <c r="K5" s="183">
        <v>2552</v>
      </c>
      <c r="L5" s="183">
        <v>2553</v>
      </c>
      <c r="M5" s="183">
        <v>2553</v>
      </c>
      <c r="N5" s="185">
        <v>2551</v>
      </c>
      <c r="O5" s="185">
        <v>2552</v>
      </c>
      <c r="P5" s="185">
        <v>2553</v>
      </c>
      <c r="Q5" s="185">
        <v>2553</v>
      </c>
    </row>
    <row r="6" spans="1:17" ht="21.75">
      <c r="A6" s="18"/>
      <c r="B6" s="18"/>
      <c r="C6" s="55" t="s">
        <v>71</v>
      </c>
      <c r="D6" s="17"/>
      <c r="E6" s="174"/>
      <c r="F6" s="144"/>
      <c r="G6" s="17"/>
      <c r="H6" s="17"/>
      <c r="I6" s="17"/>
      <c r="J6" s="144"/>
      <c r="K6" s="17"/>
      <c r="L6" s="17"/>
      <c r="M6" s="17"/>
      <c r="N6" s="144"/>
      <c r="O6" s="17"/>
      <c r="P6" s="17"/>
      <c r="Q6" s="17"/>
    </row>
    <row r="7" spans="1:17" ht="43.5">
      <c r="A7" s="3">
        <v>1</v>
      </c>
      <c r="B7" s="54">
        <v>1.1</v>
      </c>
      <c r="C7" s="56" t="s">
        <v>80</v>
      </c>
      <c r="D7" s="192" t="s">
        <v>6</v>
      </c>
      <c r="E7" s="188" t="s">
        <v>255</v>
      </c>
      <c r="F7" s="163"/>
      <c r="G7" s="3"/>
      <c r="H7" s="3"/>
      <c r="I7" s="74"/>
      <c r="J7" s="142"/>
      <c r="K7" s="53"/>
      <c r="L7" s="53"/>
      <c r="M7" s="74"/>
      <c r="N7" s="142"/>
      <c r="O7" s="53"/>
      <c r="P7" s="53"/>
      <c r="Q7" s="74"/>
    </row>
    <row r="8" spans="1:17" ht="65.25">
      <c r="A8" s="161">
        <v>2</v>
      </c>
      <c r="B8" s="54" t="s">
        <v>257</v>
      </c>
      <c r="C8" s="165" t="s">
        <v>445</v>
      </c>
      <c r="D8" s="317" t="s">
        <v>3</v>
      </c>
      <c r="E8" s="191"/>
      <c r="F8" s="163"/>
      <c r="G8" s="3"/>
      <c r="H8" s="3"/>
      <c r="I8" s="74"/>
      <c r="J8" s="142"/>
      <c r="K8" s="53"/>
      <c r="L8" s="53"/>
      <c r="M8" s="74"/>
      <c r="N8" s="142"/>
      <c r="O8" s="53"/>
      <c r="P8" s="53"/>
      <c r="Q8" s="74"/>
    </row>
    <row r="9" spans="1:17" ht="43.5">
      <c r="A9" s="161">
        <v>3</v>
      </c>
      <c r="B9" s="157"/>
      <c r="C9" s="175" t="s">
        <v>226</v>
      </c>
      <c r="D9" s="318"/>
      <c r="E9" s="191"/>
      <c r="F9" s="163"/>
      <c r="G9" s="3"/>
      <c r="H9" s="3"/>
      <c r="I9" s="74"/>
      <c r="J9" s="142"/>
      <c r="K9" s="53"/>
      <c r="L9" s="53"/>
      <c r="M9" s="74"/>
      <c r="N9" s="142"/>
      <c r="O9" s="53"/>
      <c r="P9" s="53"/>
      <c r="Q9" s="74"/>
    </row>
    <row r="10" spans="1:17" ht="43.5">
      <c r="A10" s="161">
        <v>4</v>
      </c>
      <c r="B10" s="157"/>
      <c r="C10" s="175" t="s">
        <v>227</v>
      </c>
      <c r="D10" s="318"/>
      <c r="E10" s="191"/>
      <c r="F10" s="163"/>
      <c r="G10" s="3"/>
      <c r="H10" s="3"/>
      <c r="I10" s="74"/>
      <c r="J10" s="142"/>
      <c r="K10" s="53"/>
      <c r="L10" s="53"/>
      <c r="M10" s="74"/>
      <c r="N10" s="142"/>
      <c r="O10" s="53"/>
      <c r="P10" s="53"/>
      <c r="Q10" s="74"/>
    </row>
    <row r="11" spans="1:17" ht="43.5">
      <c r="A11" s="161">
        <v>5</v>
      </c>
      <c r="B11" s="157"/>
      <c r="C11" s="175" t="s">
        <v>228</v>
      </c>
      <c r="D11" s="318"/>
      <c r="E11" s="191"/>
      <c r="F11" s="163"/>
      <c r="G11" s="3"/>
      <c r="H11" s="3"/>
      <c r="I11" s="74"/>
      <c r="J11" s="142"/>
      <c r="K11" s="53"/>
      <c r="L11" s="53"/>
      <c r="M11" s="74"/>
      <c r="N11" s="142"/>
      <c r="O11" s="53"/>
      <c r="P11" s="53"/>
      <c r="Q11" s="74"/>
    </row>
    <row r="12" spans="1:17" ht="43.5">
      <c r="A12" s="161">
        <v>6</v>
      </c>
      <c r="B12" s="157"/>
      <c r="C12" s="175" t="s">
        <v>229</v>
      </c>
      <c r="D12" s="318"/>
      <c r="E12" s="191"/>
      <c r="F12" s="163"/>
      <c r="G12" s="3"/>
      <c r="H12" s="3"/>
      <c r="I12" s="74"/>
      <c r="J12" s="142"/>
      <c r="K12" s="53"/>
      <c r="L12" s="53"/>
      <c r="M12" s="74"/>
      <c r="N12" s="142"/>
      <c r="O12" s="53"/>
      <c r="P12" s="53"/>
      <c r="Q12" s="74"/>
    </row>
    <row r="13" spans="1:17" ht="21.75">
      <c r="A13" s="3">
        <v>7</v>
      </c>
      <c r="B13" s="157"/>
      <c r="C13" s="175" t="s">
        <v>579</v>
      </c>
      <c r="D13" s="319"/>
      <c r="E13" s="191"/>
      <c r="F13" s="163"/>
      <c r="G13" s="3"/>
      <c r="H13" s="3"/>
      <c r="I13" s="74"/>
      <c r="J13" s="142"/>
      <c r="K13" s="53"/>
      <c r="L13" s="53"/>
      <c r="M13" s="74"/>
      <c r="N13" s="142"/>
      <c r="O13" s="53"/>
      <c r="P13" s="53"/>
      <c r="Q13" s="74"/>
    </row>
    <row r="14" spans="1:17" ht="24.75" customHeight="1">
      <c r="A14" s="161">
        <v>8</v>
      </c>
      <c r="B14" s="157"/>
      <c r="C14" s="164" t="s">
        <v>446</v>
      </c>
      <c r="D14" s="317" t="s">
        <v>3</v>
      </c>
      <c r="E14" s="189"/>
      <c r="F14" s="163"/>
      <c r="G14" s="3"/>
      <c r="H14" s="3"/>
      <c r="I14" s="74"/>
      <c r="J14" s="142"/>
      <c r="K14" s="53"/>
      <c r="L14" s="53"/>
      <c r="M14" s="74"/>
      <c r="N14" s="142"/>
      <c r="O14" s="53"/>
      <c r="P14" s="53"/>
      <c r="Q14" s="74"/>
    </row>
    <row r="15" spans="1:17" ht="43.5">
      <c r="A15" s="161">
        <v>9</v>
      </c>
      <c r="B15" s="157"/>
      <c r="C15" s="173" t="s">
        <v>226</v>
      </c>
      <c r="D15" s="318"/>
      <c r="E15" s="189"/>
      <c r="F15" s="163"/>
      <c r="G15" s="3"/>
      <c r="H15" s="3"/>
      <c r="I15" s="74"/>
      <c r="J15" s="142"/>
      <c r="K15" s="53"/>
      <c r="L15" s="53"/>
      <c r="M15" s="74"/>
      <c r="N15" s="142"/>
      <c r="O15" s="53"/>
      <c r="P15" s="53"/>
      <c r="Q15" s="74"/>
    </row>
    <row r="16" spans="1:17" ht="43.5">
      <c r="A16" s="161">
        <v>10</v>
      </c>
      <c r="B16" s="157"/>
      <c r="C16" s="173" t="s">
        <v>227</v>
      </c>
      <c r="D16" s="318"/>
      <c r="E16" s="189"/>
      <c r="F16" s="163"/>
      <c r="G16" s="3"/>
      <c r="H16" s="3"/>
      <c r="I16" s="74"/>
      <c r="J16" s="142"/>
      <c r="K16" s="53"/>
      <c r="L16" s="53"/>
      <c r="M16" s="74"/>
      <c r="N16" s="142"/>
      <c r="O16" s="53"/>
      <c r="P16" s="53"/>
      <c r="Q16" s="74"/>
    </row>
    <row r="17" spans="1:17" ht="43.5">
      <c r="A17" s="161">
        <v>11</v>
      </c>
      <c r="B17" s="157"/>
      <c r="C17" s="173" t="s">
        <v>228</v>
      </c>
      <c r="D17" s="318"/>
      <c r="E17" s="189"/>
      <c r="F17" s="163"/>
      <c r="G17" s="3"/>
      <c r="H17" s="3"/>
      <c r="I17" s="74"/>
      <c r="J17" s="142"/>
      <c r="K17" s="53"/>
      <c r="L17" s="53"/>
      <c r="M17" s="74"/>
      <c r="N17" s="142"/>
      <c r="O17" s="53"/>
      <c r="P17" s="53"/>
      <c r="Q17" s="74"/>
    </row>
    <row r="18" spans="1:17" ht="43.5">
      <c r="A18" s="161">
        <v>12</v>
      </c>
      <c r="B18" s="157"/>
      <c r="C18" s="173" t="s">
        <v>229</v>
      </c>
      <c r="D18" s="318"/>
      <c r="E18" s="189"/>
      <c r="F18" s="163"/>
      <c r="G18" s="3"/>
      <c r="H18" s="3"/>
      <c r="I18" s="74"/>
      <c r="J18" s="142"/>
      <c r="K18" s="53"/>
      <c r="L18" s="53"/>
      <c r="M18" s="74"/>
      <c r="N18" s="142"/>
      <c r="O18" s="53"/>
      <c r="P18" s="53"/>
      <c r="Q18" s="74"/>
    </row>
    <row r="19" spans="1:17" ht="21.75">
      <c r="A19" s="3">
        <v>13</v>
      </c>
      <c r="B19" s="158"/>
      <c r="C19" s="173" t="s">
        <v>579</v>
      </c>
      <c r="D19" s="319"/>
      <c r="E19" s="189"/>
      <c r="F19" s="163"/>
      <c r="G19" s="3"/>
      <c r="H19" s="3"/>
      <c r="I19" s="74"/>
      <c r="J19" s="142"/>
      <c r="K19" s="53"/>
      <c r="L19" s="53"/>
      <c r="M19" s="74"/>
      <c r="N19" s="142"/>
      <c r="O19" s="53"/>
      <c r="P19" s="53"/>
      <c r="Q19" s="74"/>
    </row>
    <row r="20" spans="1:17" ht="65.25">
      <c r="A20" s="161">
        <v>14</v>
      </c>
      <c r="B20" s="157" t="s">
        <v>258</v>
      </c>
      <c r="C20" s="57" t="s">
        <v>448</v>
      </c>
      <c r="D20" s="197" t="s">
        <v>6</v>
      </c>
      <c r="E20" s="189"/>
      <c r="F20" s="163"/>
      <c r="G20" s="3"/>
      <c r="H20" s="3"/>
      <c r="I20" s="74"/>
      <c r="J20" s="142"/>
      <c r="K20" s="53"/>
      <c r="L20" s="53"/>
      <c r="M20" s="74"/>
      <c r="N20" s="142"/>
      <c r="O20" s="53"/>
      <c r="P20" s="53"/>
      <c r="Q20" s="74"/>
    </row>
    <row r="21" spans="1:17" ht="87">
      <c r="A21" s="161">
        <v>15</v>
      </c>
      <c r="B21" s="158"/>
      <c r="C21" s="57" t="s">
        <v>447</v>
      </c>
      <c r="D21" s="197" t="s">
        <v>6</v>
      </c>
      <c r="E21" s="196"/>
      <c r="F21" s="163"/>
      <c r="G21" s="3"/>
      <c r="H21" s="3"/>
      <c r="I21" s="74"/>
      <c r="J21" s="142"/>
      <c r="K21" s="53"/>
      <c r="L21" s="53"/>
      <c r="M21" s="74"/>
      <c r="N21" s="142"/>
      <c r="O21" s="53"/>
      <c r="P21" s="53"/>
      <c r="Q21" s="74"/>
    </row>
    <row r="22" spans="1:17" ht="130.5">
      <c r="A22" s="161">
        <v>16</v>
      </c>
      <c r="B22" s="300" t="s">
        <v>519</v>
      </c>
      <c r="C22" s="309" t="s">
        <v>588</v>
      </c>
      <c r="D22" s="301" t="s">
        <v>19</v>
      </c>
      <c r="E22" s="302" t="s">
        <v>261</v>
      </c>
      <c r="F22" s="163"/>
      <c r="G22" s="142"/>
      <c r="H22" s="3"/>
      <c r="I22" s="74"/>
      <c r="J22" s="142"/>
      <c r="K22" s="142"/>
      <c r="L22" s="53"/>
      <c r="M22" s="74"/>
      <c r="N22" s="142"/>
      <c r="O22" s="142"/>
      <c r="P22" s="53"/>
      <c r="Q22" s="74"/>
    </row>
    <row r="23" spans="1:17" ht="65.25">
      <c r="A23" s="161">
        <v>17</v>
      </c>
      <c r="B23" s="256" t="s">
        <v>520</v>
      </c>
      <c r="C23" s="255" t="s">
        <v>575</v>
      </c>
      <c r="D23" s="279" t="s">
        <v>6</v>
      </c>
      <c r="E23" s="196" t="s">
        <v>261</v>
      </c>
      <c r="F23" s="163"/>
      <c r="G23" s="142"/>
      <c r="H23" s="3"/>
      <c r="I23" s="74"/>
      <c r="J23" s="142"/>
      <c r="K23" s="142"/>
      <c r="L23" s="53"/>
      <c r="M23" s="74"/>
      <c r="N23" s="142"/>
      <c r="O23" s="142"/>
      <c r="P23" s="53"/>
      <c r="Q23" s="74"/>
    </row>
    <row r="24" spans="1:17" ht="21.75">
      <c r="A24" s="18"/>
      <c r="B24" s="18"/>
      <c r="C24" s="55" t="s">
        <v>4</v>
      </c>
      <c r="D24" s="17"/>
      <c r="E24" s="171"/>
      <c r="F24" s="144"/>
      <c r="G24" s="17"/>
      <c r="H24" s="17"/>
      <c r="I24" s="75"/>
      <c r="J24" s="144"/>
      <c r="K24" s="17"/>
      <c r="L24" s="17"/>
      <c r="M24" s="75"/>
      <c r="N24" s="144"/>
      <c r="O24" s="17"/>
      <c r="P24" s="17"/>
      <c r="Q24" s="75"/>
    </row>
    <row r="25" spans="1:17" ht="43.5">
      <c r="A25" s="3">
        <v>18</v>
      </c>
      <c r="B25" s="54">
        <v>2.1</v>
      </c>
      <c r="C25" s="57" t="s">
        <v>81</v>
      </c>
      <c r="D25" s="3" t="s">
        <v>6</v>
      </c>
      <c r="E25" s="3" t="s">
        <v>261</v>
      </c>
      <c r="F25" s="142"/>
      <c r="G25" s="3"/>
      <c r="H25" s="3"/>
      <c r="I25" s="74"/>
      <c r="J25" s="142"/>
      <c r="K25" s="3"/>
      <c r="L25" s="3"/>
      <c r="M25" s="74"/>
      <c r="N25" s="142"/>
      <c r="O25" s="3"/>
      <c r="P25" s="3"/>
      <c r="Q25" s="74"/>
    </row>
    <row r="26" spans="1:17" ht="43.5">
      <c r="A26" s="161">
        <v>19</v>
      </c>
      <c r="B26" s="54">
        <v>2.1</v>
      </c>
      <c r="C26" s="166" t="s">
        <v>251</v>
      </c>
      <c r="D26" s="3" t="s">
        <v>72</v>
      </c>
      <c r="E26" s="54" t="s">
        <v>261</v>
      </c>
      <c r="F26" s="142"/>
      <c r="G26" s="2">
        <f>SUM(G27,G28,G29,G35)</f>
        <v>0</v>
      </c>
      <c r="H26" s="2">
        <f aca="true" t="shared" si="0" ref="H26:Q26">SUM(H27,H28,H29,H35)</f>
        <v>0</v>
      </c>
      <c r="I26" s="75">
        <f t="shared" si="0"/>
        <v>0</v>
      </c>
      <c r="J26" s="142"/>
      <c r="K26" s="2">
        <f t="shared" si="0"/>
        <v>0</v>
      </c>
      <c r="L26" s="2">
        <f t="shared" si="0"/>
        <v>0</v>
      </c>
      <c r="M26" s="75">
        <f t="shared" si="0"/>
        <v>0</v>
      </c>
      <c r="N26" s="142"/>
      <c r="O26" s="2">
        <f t="shared" si="0"/>
        <v>0</v>
      </c>
      <c r="P26" s="2">
        <f t="shared" si="0"/>
        <v>0</v>
      </c>
      <c r="Q26" s="75">
        <f t="shared" si="0"/>
        <v>0</v>
      </c>
    </row>
    <row r="27" spans="1:17" ht="43.5">
      <c r="A27" s="3">
        <v>20</v>
      </c>
      <c r="B27" s="157"/>
      <c r="C27" s="303" t="s">
        <v>145</v>
      </c>
      <c r="D27" s="3" t="s">
        <v>72</v>
      </c>
      <c r="E27" s="160"/>
      <c r="F27" s="142"/>
      <c r="G27" s="3"/>
      <c r="H27" s="3"/>
      <c r="I27" s="74"/>
      <c r="J27" s="142"/>
      <c r="K27" s="3"/>
      <c r="L27" s="3"/>
      <c r="M27" s="74"/>
      <c r="N27" s="142"/>
      <c r="O27" s="3"/>
      <c r="P27" s="3"/>
      <c r="Q27" s="74"/>
    </row>
    <row r="28" spans="1:17" ht="43.5">
      <c r="A28" s="161">
        <v>21</v>
      </c>
      <c r="B28" s="157"/>
      <c r="C28" s="313" t="s">
        <v>146</v>
      </c>
      <c r="D28" s="158" t="s">
        <v>72</v>
      </c>
      <c r="E28" s="159"/>
      <c r="F28" s="182"/>
      <c r="G28" s="158"/>
      <c r="H28" s="158"/>
      <c r="I28" s="181"/>
      <c r="J28" s="182"/>
      <c r="K28" s="158"/>
      <c r="L28" s="158"/>
      <c r="M28" s="181"/>
      <c r="N28" s="182"/>
      <c r="O28" s="158"/>
      <c r="P28" s="158"/>
      <c r="Q28" s="181"/>
    </row>
    <row r="29" spans="1:17" ht="43.5">
      <c r="A29" s="3">
        <v>22</v>
      </c>
      <c r="B29" s="157"/>
      <c r="C29" s="303" t="s">
        <v>250</v>
      </c>
      <c r="D29" s="3" t="s">
        <v>72</v>
      </c>
      <c r="E29" s="160"/>
      <c r="F29" s="142"/>
      <c r="G29" s="2">
        <f>SUM(G30:G34)</f>
        <v>0</v>
      </c>
      <c r="H29" s="2">
        <f aca="true" t="shared" si="1" ref="H29:Q29">SUM(H30:H34)</f>
        <v>0</v>
      </c>
      <c r="I29" s="75">
        <f t="shared" si="1"/>
        <v>0</v>
      </c>
      <c r="J29" s="144"/>
      <c r="K29" s="2">
        <f t="shared" si="1"/>
        <v>0</v>
      </c>
      <c r="L29" s="2">
        <f t="shared" si="1"/>
        <v>0</v>
      </c>
      <c r="M29" s="75">
        <f t="shared" si="1"/>
        <v>0</v>
      </c>
      <c r="N29" s="144"/>
      <c r="O29" s="2">
        <f t="shared" si="1"/>
        <v>0</v>
      </c>
      <c r="P29" s="2">
        <f t="shared" si="1"/>
        <v>0</v>
      </c>
      <c r="Q29" s="75">
        <f t="shared" si="1"/>
        <v>0</v>
      </c>
    </row>
    <row r="30" spans="1:17" ht="65.25">
      <c r="A30" s="161">
        <v>23</v>
      </c>
      <c r="B30" s="157"/>
      <c r="C30" s="194" t="s">
        <v>449</v>
      </c>
      <c r="D30" s="158" t="s">
        <v>72</v>
      </c>
      <c r="E30" s="159"/>
      <c r="F30" s="182"/>
      <c r="G30" s="158"/>
      <c r="H30" s="158"/>
      <c r="I30" s="181"/>
      <c r="J30" s="182"/>
      <c r="K30" s="158"/>
      <c r="L30" s="158"/>
      <c r="M30" s="181"/>
      <c r="N30" s="182"/>
      <c r="O30" s="158"/>
      <c r="P30" s="158"/>
      <c r="Q30" s="181"/>
    </row>
    <row r="31" spans="1:17" ht="65.25">
      <c r="A31" s="3">
        <v>24</v>
      </c>
      <c r="B31" s="157"/>
      <c r="C31" s="194" t="s">
        <v>451</v>
      </c>
      <c r="D31" s="158" t="s">
        <v>72</v>
      </c>
      <c r="E31" s="159"/>
      <c r="F31" s="182"/>
      <c r="G31" s="158"/>
      <c r="H31" s="158"/>
      <c r="I31" s="181"/>
      <c r="J31" s="182"/>
      <c r="K31" s="158"/>
      <c r="L31" s="158"/>
      <c r="M31" s="181"/>
      <c r="N31" s="182"/>
      <c r="O31" s="158"/>
      <c r="P31" s="158"/>
      <c r="Q31" s="181"/>
    </row>
    <row r="32" spans="1:17" ht="65.25">
      <c r="A32" s="161">
        <v>25</v>
      </c>
      <c r="B32" s="157"/>
      <c r="C32" s="173" t="s">
        <v>450</v>
      </c>
      <c r="D32" s="3" t="s">
        <v>72</v>
      </c>
      <c r="E32" s="159"/>
      <c r="F32" s="142"/>
      <c r="G32" s="3"/>
      <c r="H32" s="3"/>
      <c r="I32" s="74"/>
      <c r="J32" s="142"/>
      <c r="K32" s="3"/>
      <c r="L32" s="3"/>
      <c r="M32" s="74"/>
      <c r="N32" s="142"/>
      <c r="O32" s="3"/>
      <c r="P32" s="3"/>
      <c r="Q32" s="74"/>
    </row>
    <row r="33" spans="1:17" ht="43.5">
      <c r="A33" s="3">
        <v>26</v>
      </c>
      <c r="B33" s="157"/>
      <c r="C33" s="173" t="s">
        <v>252</v>
      </c>
      <c r="D33" s="3" t="s">
        <v>72</v>
      </c>
      <c r="E33" s="159"/>
      <c r="F33" s="142"/>
      <c r="G33" s="3"/>
      <c r="H33" s="3"/>
      <c r="I33" s="74"/>
      <c r="J33" s="142"/>
      <c r="K33" s="3"/>
      <c r="L33" s="3"/>
      <c r="M33" s="74"/>
      <c r="N33" s="142"/>
      <c r="O33" s="3"/>
      <c r="P33" s="3"/>
      <c r="Q33" s="74"/>
    </row>
    <row r="34" spans="1:17" ht="43.5">
      <c r="A34" s="161">
        <v>27</v>
      </c>
      <c r="B34" s="157"/>
      <c r="C34" s="173" t="s">
        <v>253</v>
      </c>
      <c r="D34" s="3" t="s">
        <v>72</v>
      </c>
      <c r="E34" s="159"/>
      <c r="F34" s="142"/>
      <c r="G34" s="3"/>
      <c r="H34" s="3"/>
      <c r="I34" s="74"/>
      <c r="J34" s="142"/>
      <c r="K34" s="3"/>
      <c r="L34" s="3"/>
      <c r="M34" s="74"/>
      <c r="N34" s="142"/>
      <c r="O34" s="3"/>
      <c r="P34" s="3"/>
      <c r="Q34" s="74"/>
    </row>
    <row r="35" spans="1:17" ht="43.5">
      <c r="A35" s="3">
        <v>28</v>
      </c>
      <c r="B35" s="158"/>
      <c r="C35" s="303" t="s">
        <v>147</v>
      </c>
      <c r="D35" s="3" t="s">
        <v>72</v>
      </c>
      <c r="E35" s="160"/>
      <c r="F35" s="142"/>
      <c r="G35" s="3"/>
      <c r="H35" s="3"/>
      <c r="I35" s="74"/>
      <c r="J35" s="142"/>
      <c r="K35" s="3"/>
      <c r="L35" s="3"/>
      <c r="M35" s="74"/>
      <c r="N35" s="142"/>
      <c r="O35" s="3"/>
      <c r="P35" s="3"/>
      <c r="Q35" s="74"/>
    </row>
    <row r="36" spans="1:17" ht="65.25">
      <c r="A36" s="161">
        <v>29</v>
      </c>
      <c r="B36" s="157" t="s">
        <v>259</v>
      </c>
      <c r="C36" s="156" t="s">
        <v>452</v>
      </c>
      <c r="D36" s="3" t="s">
        <v>72</v>
      </c>
      <c r="E36" s="54" t="s">
        <v>261</v>
      </c>
      <c r="F36" s="142"/>
      <c r="G36" s="2">
        <f>SUM(G37,G38,G39,G45)</f>
        <v>0</v>
      </c>
      <c r="H36" s="2">
        <f>SUM(H37,H38,H39,H45)</f>
        <v>0</v>
      </c>
      <c r="I36" s="75">
        <f>SUM(I37,I38,I39,I45)</f>
        <v>0</v>
      </c>
      <c r="J36" s="142"/>
      <c r="K36" s="2">
        <f>SUM(K37,K38,K39,K45)</f>
        <v>0</v>
      </c>
      <c r="L36" s="2">
        <f>SUM(L37,L38,L39,L45)</f>
        <v>0</v>
      </c>
      <c r="M36" s="75">
        <f>SUM(M37,M38,M39,M45)</f>
        <v>0</v>
      </c>
      <c r="N36" s="142"/>
      <c r="O36" s="2">
        <f>SUM(O37,O38,O39,O45)</f>
        <v>0</v>
      </c>
      <c r="P36" s="2">
        <f>SUM(P37,P38,P39,P45)</f>
        <v>0</v>
      </c>
      <c r="Q36" s="75">
        <f>SUM(Q37,Q38,Q39,Q45)</f>
        <v>0</v>
      </c>
    </row>
    <row r="37" spans="1:17" ht="43.5">
      <c r="A37" s="3">
        <v>30</v>
      </c>
      <c r="B37" s="157"/>
      <c r="C37" s="155" t="s">
        <v>145</v>
      </c>
      <c r="D37" s="3" t="s">
        <v>72</v>
      </c>
      <c r="E37" s="157"/>
      <c r="F37" s="142"/>
      <c r="G37" s="3"/>
      <c r="H37" s="3"/>
      <c r="I37" s="74"/>
      <c r="J37" s="142"/>
      <c r="K37" s="3"/>
      <c r="L37" s="3"/>
      <c r="M37" s="74"/>
      <c r="N37" s="142"/>
      <c r="O37" s="3"/>
      <c r="P37" s="3"/>
      <c r="Q37" s="74"/>
    </row>
    <row r="38" spans="1:17" ht="43.5">
      <c r="A38" s="161">
        <v>31</v>
      </c>
      <c r="B38" s="157"/>
      <c r="C38" s="155" t="s">
        <v>146</v>
      </c>
      <c r="D38" s="3" t="s">
        <v>72</v>
      </c>
      <c r="E38" s="157"/>
      <c r="F38" s="142"/>
      <c r="G38" s="3"/>
      <c r="H38" s="3"/>
      <c r="I38" s="74"/>
      <c r="J38" s="142"/>
      <c r="K38" s="3"/>
      <c r="L38" s="3"/>
      <c r="M38" s="74"/>
      <c r="N38" s="142"/>
      <c r="O38" s="3"/>
      <c r="P38" s="3"/>
      <c r="Q38" s="74"/>
    </row>
    <row r="39" spans="1:17" ht="43.5">
      <c r="A39" s="3">
        <v>32</v>
      </c>
      <c r="B39" s="157"/>
      <c r="C39" s="155" t="s">
        <v>590</v>
      </c>
      <c r="D39" s="3" t="s">
        <v>72</v>
      </c>
      <c r="E39" s="157"/>
      <c r="F39" s="142"/>
      <c r="G39" s="2">
        <f>SUM(G40:G44)</f>
        <v>0</v>
      </c>
      <c r="H39" s="2">
        <f>SUM(H40:H44)</f>
        <v>0</v>
      </c>
      <c r="I39" s="75">
        <f>SUM(I40:I44)</f>
        <v>0</v>
      </c>
      <c r="J39" s="142"/>
      <c r="K39" s="2">
        <f>SUM(K40:K44)</f>
        <v>0</v>
      </c>
      <c r="L39" s="2">
        <f>SUM(L40:L44)</f>
        <v>0</v>
      </c>
      <c r="M39" s="75">
        <f>SUM(M40:M44)</f>
        <v>0</v>
      </c>
      <c r="N39" s="142"/>
      <c r="O39" s="2">
        <f>SUM(O40:O44)</f>
        <v>0</v>
      </c>
      <c r="P39" s="2">
        <f>SUM(P40:P44)</f>
        <v>0</v>
      </c>
      <c r="Q39" s="75">
        <f>SUM(Q40:Q44)</f>
        <v>0</v>
      </c>
    </row>
    <row r="40" spans="1:17" ht="65.25">
      <c r="A40" s="161">
        <v>33</v>
      </c>
      <c r="B40" s="157"/>
      <c r="C40" s="58" t="s">
        <v>449</v>
      </c>
      <c r="D40" s="3" t="s">
        <v>72</v>
      </c>
      <c r="E40" s="157"/>
      <c r="F40" s="142"/>
      <c r="G40" s="3"/>
      <c r="H40" s="3"/>
      <c r="I40" s="74"/>
      <c r="J40" s="142"/>
      <c r="K40" s="3"/>
      <c r="L40" s="3"/>
      <c r="M40" s="74"/>
      <c r="N40" s="142"/>
      <c r="O40" s="3"/>
      <c r="P40" s="3"/>
      <c r="Q40" s="74"/>
    </row>
    <row r="41" spans="1:17" ht="65.25">
      <c r="A41" s="3">
        <v>34</v>
      </c>
      <c r="B41" s="157"/>
      <c r="C41" s="58" t="s">
        <v>451</v>
      </c>
      <c r="D41" s="3" t="s">
        <v>72</v>
      </c>
      <c r="E41" s="157"/>
      <c r="F41" s="142"/>
      <c r="G41" s="3"/>
      <c r="H41" s="3"/>
      <c r="I41" s="74"/>
      <c r="J41" s="142"/>
      <c r="K41" s="3"/>
      <c r="L41" s="3"/>
      <c r="M41" s="74"/>
      <c r="N41" s="142"/>
      <c r="O41" s="3"/>
      <c r="P41" s="3"/>
      <c r="Q41" s="74"/>
    </row>
    <row r="42" spans="1:17" ht="65.25">
      <c r="A42" s="161">
        <v>35</v>
      </c>
      <c r="B42" s="157"/>
      <c r="C42" s="58" t="s">
        <v>450</v>
      </c>
      <c r="D42" s="3" t="s">
        <v>72</v>
      </c>
      <c r="E42" s="157"/>
      <c r="F42" s="142"/>
      <c r="G42" s="3"/>
      <c r="H42" s="3"/>
      <c r="I42" s="74"/>
      <c r="J42" s="142"/>
      <c r="K42" s="3"/>
      <c r="L42" s="3"/>
      <c r="M42" s="74"/>
      <c r="N42" s="142"/>
      <c r="O42" s="3"/>
      <c r="P42" s="3"/>
      <c r="Q42" s="74"/>
    </row>
    <row r="43" spans="1:17" ht="43.5">
      <c r="A43" s="3">
        <v>36</v>
      </c>
      <c r="B43" s="157"/>
      <c r="C43" s="58" t="s">
        <v>252</v>
      </c>
      <c r="D43" s="3" t="s">
        <v>72</v>
      </c>
      <c r="E43" s="157"/>
      <c r="F43" s="142"/>
      <c r="G43" s="3"/>
      <c r="H43" s="3"/>
      <c r="I43" s="74"/>
      <c r="J43" s="142"/>
      <c r="K43" s="3"/>
      <c r="L43" s="3"/>
      <c r="M43" s="74"/>
      <c r="N43" s="142"/>
      <c r="O43" s="3"/>
      <c r="P43" s="3"/>
      <c r="Q43" s="74"/>
    </row>
    <row r="44" spans="1:17" ht="43.5">
      <c r="A44" s="161">
        <v>37</v>
      </c>
      <c r="B44" s="157"/>
      <c r="C44" s="58" t="s">
        <v>253</v>
      </c>
      <c r="D44" s="3" t="s">
        <v>72</v>
      </c>
      <c r="E44" s="157"/>
      <c r="F44" s="142"/>
      <c r="G44" s="3"/>
      <c r="H44" s="3"/>
      <c r="I44" s="74"/>
      <c r="J44" s="142"/>
      <c r="K44" s="3"/>
      <c r="L44" s="3"/>
      <c r="M44" s="74"/>
      <c r="N44" s="142"/>
      <c r="O44" s="3"/>
      <c r="P44" s="3"/>
      <c r="Q44" s="74"/>
    </row>
    <row r="45" spans="1:17" ht="43.5">
      <c r="A45" s="3">
        <v>38</v>
      </c>
      <c r="B45" s="157"/>
      <c r="C45" s="155" t="s">
        <v>147</v>
      </c>
      <c r="D45" s="3" t="s">
        <v>72</v>
      </c>
      <c r="E45" s="158"/>
      <c r="F45" s="142"/>
      <c r="G45" s="3"/>
      <c r="H45" s="3"/>
      <c r="I45" s="74"/>
      <c r="J45" s="142"/>
      <c r="K45" s="3"/>
      <c r="L45" s="3"/>
      <c r="M45" s="74"/>
      <c r="N45" s="142"/>
      <c r="O45" s="3"/>
      <c r="P45" s="3"/>
      <c r="Q45" s="74"/>
    </row>
    <row r="46" spans="1:17" ht="65.25">
      <c r="A46" s="161">
        <v>39</v>
      </c>
      <c r="B46" s="54" t="s">
        <v>260</v>
      </c>
      <c r="C46" s="166" t="s">
        <v>453</v>
      </c>
      <c r="D46" s="3" t="s">
        <v>72</v>
      </c>
      <c r="E46" s="54" t="s">
        <v>261</v>
      </c>
      <c r="F46" s="142"/>
      <c r="G46" s="2">
        <f>SUM(G47,G48,G49,G55)</f>
        <v>0</v>
      </c>
      <c r="H46" s="2">
        <f>SUM(H47,H48,H49,H55)</f>
        <v>0</v>
      </c>
      <c r="I46" s="75">
        <f>SUM(I47,I48,I49,I55)</f>
        <v>0</v>
      </c>
      <c r="J46" s="142"/>
      <c r="K46" s="2">
        <f>SUM(K47,K48,K49,K55)</f>
        <v>0</v>
      </c>
      <c r="L46" s="2">
        <f>SUM(L47,L48,L49,L55)</f>
        <v>0</v>
      </c>
      <c r="M46" s="75">
        <f>SUM(M47,M48,M49,M55)</f>
        <v>0</v>
      </c>
      <c r="N46" s="142"/>
      <c r="O46" s="2">
        <f>SUM(O47,O48,O49,O55)</f>
        <v>0</v>
      </c>
      <c r="P46" s="2">
        <f>SUM(P47,P48,P49,P55)</f>
        <v>0</v>
      </c>
      <c r="Q46" s="75">
        <f>SUM(Q47,Q48,Q49,Q55)</f>
        <v>0</v>
      </c>
    </row>
    <row r="47" spans="1:17" ht="43.5">
      <c r="A47" s="3">
        <v>40</v>
      </c>
      <c r="B47" s="158"/>
      <c r="C47" s="303" t="s">
        <v>145</v>
      </c>
      <c r="D47" s="3" t="s">
        <v>72</v>
      </c>
      <c r="E47" s="158"/>
      <c r="F47" s="142"/>
      <c r="G47" s="3"/>
      <c r="H47" s="3"/>
      <c r="I47" s="74"/>
      <c r="J47" s="142"/>
      <c r="K47" s="3"/>
      <c r="L47" s="3"/>
      <c r="M47" s="74"/>
      <c r="N47" s="142"/>
      <c r="O47" s="3"/>
      <c r="P47" s="3"/>
      <c r="Q47" s="74"/>
    </row>
    <row r="48" spans="1:17" ht="43.5">
      <c r="A48" s="161">
        <v>41</v>
      </c>
      <c r="B48" s="157"/>
      <c r="C48" s="313" t="s">
        <v>146</v>
      </c>
      <c r="D48" s="158" t="s">
        <v>72</v>
      </c>
      <c r="E48" s="157"/>
      <c r="F48" s="182"/>
      <c r="G48" s="158"/>
      <c r="H48" s="158"/>
      <c r="I48" s="181"/>
      <c r="J48" s="182"/>
      <c r="K48" s="158"/>
      <c r="L48" s="158"/>
      <c r="M48" s="181"/>
      <c r="N48" s="182"/>
      <c r="O48" s="158"/>
      <c r="P48" s="158"/>
      <c r="Q48" s="181"/>
    </row>
    <row r="49" spans="1:17" ht="43.5">
      <c r="A49" s="3">
        <v>42</v>
      </c>
      <c r="B49" s="157"/>
      <c r="C49" s="303" t="s">
        <v>250</v>
      </c>
      <c r="D49" s="3" t="s">
        <v>72</v>
      </c>
      <c r="E49" s="158"/>
      <c r="F49" s="142"/>
      <c r="G49" s="2">
        <f>SUM(G50:G54)</f>
        <v>0</v>
      </c>
      <c r="H49" s="2">
        <f aca="true" t="shared" si="2" ref="H49:Q49">SUM(H50:H54)</f>
        <v>0</v>
      </c>
      <c r="I49" s="75">
        <f t="shared" si="2"/>
        <v>0</v>
      </c>
      <c r="J49" s="144"/>
      <c r="K49" s="2">
        <f t="shared" si="2"/>
        <v>0</v>
      </c>
      <c r="L49" s="2">
        <f t="shared" si="2"/>
        <v>0</v>
      </c>
      <c r="M49" s="75">
        <f t="shared" si="2"/>
        <v>0</v>
      </c>
      <c r="N49" s="144"/>
      <c r="O49" s="2">
        <f t="shared" si="2"/>
        <v>0</v>
      </c>
      <c r="P49" s="2">
        <f t="shared" si="2"/>
        <v>0</v>
      </c>
      <c r="Q49" s="75">
        <f t="shared" si="2"/>
        <v>0</v>
      </c>
    </row>
    <row r="50" spans="1:17" ht="65.25">
      <c r="A50" s="161">
        <v>43</v>
      </c>
      <c r="B50" s="157"/>
      <c r="C50" s="194" t="s">
        <v>460</v>
      </c>
      <c r="D50" s="158" t="s">
        <v>72</v>
      </c>
      <c r="E50" s="54"/>
      <c r="F50" s="182"/>
      <c r="G50" s="158"/>
      <c r="H50" s="158"/>
      <c r="I50" s="181"/>
      <c r="J50" s="182"/>
      <c r="K50" s="158"/>
      <c r="L50" s="158"/>
      <c r="M50" s="181"/>
      <c r="N50" s="182"/>
      <c r="O50" s="158"/>
      <c r="P50" s="158"/>
      <c r="Q50" s="181"/>
    </row>
    <row r="51" spans="1:17" ht="65.25">
      <c r="A51" s="3">
        <v>44</v>
      </c>
      <c r="B51" s="157"/>
      <c r="C51" s="194" t="s">
        <v>456</v>
      </c>
      <c r="D51" s="158" t="s">
        <v>72</v>
      </c>
      <c r="E51" s="157"/>
      <c r="F51" s="182"/>
      <c r="G51" s="158"/>
      <c r="H51" s="158"/>
      <c r="I51" s="181"/>
      <c r="J51" s="182"/>
      <c r="K51" s="158"/>
      <c r="L51" s="158"/>
      <c r="M51" s="181"/>
      <c r="N51" s="182"/>
      <c r="O51" s="158"/>
      <c r="P51" s="158"/>
      <c r="Q51" s="181"/>
    </row>
    <row r="52" spans="1:17" ht="65.25">
      <c r="A52" s="161">
        <v>45</v>
      </c>
      <c r="B52" s="157"/>
      <c r="C52" s="173" t="s">
        <v>457</v>
      </c>
      <c r="D52" s="3" t="s">
        <v>72</v>
      </c>
      <c r="E52" s="157"/>
      <c r="F52" s="142"/>
      <c r="G52" s="3"/>
      <c r="H52" s="3"/>
      <c r="I52" s="74"/>
      <c r="J52" s="142"/>
      <c r="K52" s="3"/>
      <c r="L52" s="3"/>
      <c r="M52" s="74"/>
      <c r="N52" s="142"/>
      <c r="O52" s="3"/>
      <c r="P52" s="3"/>
      <c r="Q52" s="74"/>
    </row>
    <row r="53" spans="1:17" ht="43.5">
      <c r="A53" s="3">
        <v>46</v>
      </c>
      <c r="B53" s="157"/>
      <c r="C53" s="173" t="s">
        <v>252</v>
      </c>
      <c r="D53" s="3" t="s">
        <v>72</v>
      </c>
      <c r="E53" s="157"/>
      <c r="F53" s="142"/>
      <c r="G53" s="3"/>
      <c r="H53" s="3"/>
      <c r="I53" s="74"/>
      <c r="J53" s="142"/>
      <c r="K53" s="3"/>
      <c r="L53" s="3"/>
      <c r="M53" s="74"/>
      <c r="N53" s="142"/>
      <c r="O53" s="3"/>
      <c r="P53" s="3"/>
      <c r="Q53" s="74"/>
    </row>
    <row r="54" spans="1:17" ht="43.5">
      <c r="A54" s="161">
        <v>47</v>
      </c>
      <c r="B54" s="157"/>
      <c r="C54" s="173" t="s">
        <v>253</v>
      </c>
      <c r="D54" s="3" t="s">
        <v>72</v>
      </c>
      <c r="E54" s="157"/>
      <c r="F54" s="142"/>
      <c r="G54" s="3"/>
      <c r="H54" s="3"/>
      <c r="I54" s="74"/>
      <c r="J54" s="142"/>
      <c r="K54" s="3"/>
      <c r="L54" s="3"/>
      <c r="M54" s="74"/>
      <c r="N54" s="142"/>
      <c r="O54" s="3"/>
      <c r="P54" s="3"/>
      <c r="Q54" s="74"/>
    </row>
    <row r="55" spans="1:17" ht="43.5">
      <c r="A55" s="3">
        <v>48</v>
      </c>
      <c r="B55" s="158"/>
      <c r="C55" s="303" t="s">
        <v>147</v>
      </c>
      <c r="D55" s="3" t="s">
        <v>72</v>
      </c>
      <c r="E55" s="158"/>
      <c r="F55" s="142"/>
      <c r="G55" s="3"/>
      <c r="H55" s="3"/>
      <c r="I55" s="74"/>
      <c r="J55" s="142"/>
      <c r="K55" s="3"/>
      <c r="L55" s="3"/>
      <c r="M55" s="74"/>
      <c r="N55" s="142"/>
      <c r="O55" s="3"/>
      <c r="P55" s="3"/>
      <c r="Q55" s="74"/>
    </row>
    <row r="56" spans="1:17" ht="65.25">
      <c r="A56" s="161">
        <v>49</v>
      </c>
      <c r="B56" s="157"/>
      <c r="C56" s="156" t="s">
        <v>454</v>
      </c>
      <c r="D56" s="3" t="s">
        <v>72</v>
      </c>
      <c r="E56" s="54" t="s">
        <v>261</v>
      </c>
      <c r="F56" s="142"/>
      <c r="G56" s="2">
        <f>SUM(G57,G58,G59,G65)</f>
        <v>0</v>
      </c>
      <c r="H56" s="2">
        <f>SUM(H57,H58,H59,H65)</f>
        <v>0</v>
      </c>
      <c r="I56" s="75">
        <f>SUM(I57,I58,I59,I65)</f>
        <v>0</v>
      </c>
      <c r="J56" s="142"/>
      <c r="K56" s="2">
        <f>SUM(K57,K58,K59,K65)</f>
        <v>0</v>
      </c>
      <c r="L56" s="2">
        <f>SUM(L57,L58,L59,L65)</f>
        <v>0</v>
      </c>
      <c r="M56" s="75">
        <f>SUM(M57,M58,M59,M65)</f>
        <v>0</v>
      </c>
      <c r="N56" s="142"/>
      <c r="O56" s="2">
        <f>SUM(O57,O58,O59,O65)</f>
        <v>0</v>
      </c>
      <c r="P56" s="2">
        <f>SUM(P57,P58,P59,P65)</f>
        <v>0</v>
      </c>
      <c r="Q56" s="75">
        <f>SUM(Q57,Q58,Q59,Q65)</f>
        <v>0</v>
      </c>
    </row>
    <row r="57" spans="1:17" ht="43.5">
      <c r="A57" s="3">
        <v>50</v>
      </c>
      <c r="B57" s="157"/>
      <c r="C57" s="58" t="s">
        <v>145</v>
      </c>
      <c r="D57" s="3" t="s">
        <v>72</v>
      </c>
      <c r="E57" s="157"/>
      <c r="F57" s="142"/>
      <c r="G57" s="3"/>
      <c r="H57" s="3"/>
      <c r="I57" s="74"/>
      <c r="J57" s="142"/>
      <c r="K57" s="3"/>
      <c r="L57" s="3"/>
      <c r="M57" s="74"/>
      <c r="N57" s="142"/>
      <c r="O57" s="3"/>
      <c r="P57" s="3"/>
      <c r="Q57" s="74"/>
    </row>
    <row r="58" spans="1:17" ht="43.5">
      <c r="A58" s="161">
        <v>51</v>
      </c>
      <c r="B58" s="157"/>
      <c r="C58" s="58" t="s">
        <v>146</v>
      </c>
      <c r="D58" s="3" t="s">
        <v>72</v>
      </c>
      <c r="E58" s="157"/>
      <c r="F58" s="142"/>
      <c r="G58" s="3"/>
      <c r="H58" s="3"/>
      <c r="I58" s="74"/>
      <c r="J58" s="142"/>
      <c r="K58" s="3"/>
      <c r="L58" s="3"/>
      <c r="M58" s="74"/>
      <c r="N58" s="142"/>
      <c r="O58" s="3"/>
      <c r="P58" s="3"/>
      <c r="Q58" s="74"/>
    </row>
    <row r="59" spans="1:17" ht="43.5">
      <c r="A59" s="3">
        <v>52</v>
      </c>
      <c r="B59" s="157"/>
      <c r="C59" s="155" t="s">
        <v>250</v>
      </c>
      <c r="D59" s="3" t="s">
        <v>72</v>
      </c>
      <c r="E59" s="157"/>
      <c r="F59" s="142"/>
      <c r="G59" s="2">
        <f>SUM(G60:G64)</f>
        <v>0</v>
      </c>
      <c r="H59" s="2">
        <f aca="true" t="shared" si="3" ref="H59:Q59">SUM(H60:H64)</f>
        <v>0</v>
      </c>
      <c r="I59" s="75">
        <f t="shared" si="3"/>
        <v>0</v>
      </c>
      <c r="J59" s="144"/>
      <c r="K59" s="2">
        <f t="shared" si="3"/>
        <v>0</v>
      </c>
      <c r="L59" s="2">
        <f t="shared" si="3"/>
        <v>0</v>
      </c>
      <c r="M59" s="75">
        <f t="shared" si="3"/>
        <v>0</v>
      </c>
      <c r="N59" s="144"/>
      <c r="O59" s="2">
        <f t="shared" si="3"/>
        <v>0</v>
      </c>
      <c r="P59" s="2">
        <f t="shared" si="3"/>
        <v>0</v>
      </c>
      <c r="Q59" s="75">
        <f t="shared" si="3"/>
        <v>0</v>
      </c>
    </row>
    <row r="60" spans="1:17" ht="65.25">
      <c r="A60" s="161">
        <v>53</v>
      </c>
      <c r="B60" s="157"/>
      <c r="C60" s="58" t="s">
        <v>449</v>
      </c>
      <c r="D60" s="3" t="s">
        <v>72</v>
      </c>
      <c r="E60" s="157"/>
      <c r="F60" s="142"/>
      <c r="G60" s="3"/>
      <c r="H60" s="3"/>
      <c r="I60" s="74"/>
      <c r="J60" s="142"/>
      <c r="K60" s="3"/>
      <c r="L60" s="3"/>
      <c r="M60" s="74"/>
      <c r="N60" s="142"/>
      <c r="O60" s="3"/>
      <c r="P60" s="3"/>
      <c r="Q60" s="74"/>
    </row>
    <row r="61" spans="1:17" ht="65.25">
      <c r="A61" s="3">
        <v>54</v>
      </c>
      <c r="B61" s="157"/>
      <c r="C61" s="58" t="s">
        <v>459</v>
      </c>
      <c r="D61" s="3" t="s">
        <v>72</v>
      </c>
      <c r="E61" s="157"/>
      <c r="F61" s="142"/>
      <c r="G61" s="3"/>
      <c r="H61" s="3"/>
      <c r="I61" s="74"/>
      <c r="J61" s="142"/>
      <c r="K61" s="3"/>
      <c r="L61" s="3"/>
      <c r="M61" s="74"/>
      <c r="N61" s="142"/>
      <c r="O61" s="3"/>
      <c r="P61" s="3"/>
      <c r="Q61" s="74"/>
    </row>
    <row r="62" spans="1:17" ht="65.25">
      <c r="A62" s="161">
        <v>55</v>
      </c>
      <c r="B62" s="157"/>
      <c r="C62" s="58" t="s">
        <v>457</v>
      </c>
      <c r="D62" s="3" t="s">
        <v>72</v>
      </c>
      <c r="E62" s="157"/>
      <c r="F62" s="142"/>
      <c r="G62" s="3"/>
      <c r="H62" s="3"/>
      <c r="I62" s="74"/>
      <c r="J62" s="142"/>
      <c r="K62" s="3"/>
      <c r="L62" s="3"/>
      <c r="M62" s="74"/>
      <c r="N62" s="142"/>
      <c r="O62" s="3"/>
      <c r="P62" s="3"/>
      <c r="Q62" s="74"/>
    </row>
    <row r="63" spans="1:17" ht="43.5">
      <c r="A63" s="3">
        <v>56</v>
      </c>
      <c r="B63" s="157"/>
      <c r="C63" s="58" t="s">
        <v>252</v>
      </c>
      <c r="D63" s="3" t="s">
        <v>72</v>
      </c>
      <c r="E63" s="157"/>
      <c r="F63" s="142"/>
      <c r="G63" s="3"/>
      <c r="H63" s="3"/>
      <c r="I63" s="74"/>
      <c r="J63" s="142"/>
      <c r="K63" s="3"/>
      <c r="L63" s="3"/>
      <c r="M63" s="74"/>
      <c r="N63" s="142"/>
      <c r="O63" s="3"/>
      <c r="P63" s="3"/>
      <c r="Q63" s="74"/>
    </row>
    <row r="64" spans="1:17" ht="43.5">
      <c r="A64" s="161">
        <v>57</v>
      </c>
      <c r="B64" s="157"/>
      <c r="C64" s="58" t="s">
        <v>253</v>
      </c>
      <c r="D64" s="3" t="s">
        <v>72</v>
      </c>
      <c r="E64" s="157"/>
      <c r="F64" s="142"/>
      <c r="G64" s="3"/>
      <c r="H64" s="3"/>
      <c r="I64" s="74"/>
      <c r="J64" s="142"/>
      <c r="K64" s="3"/>
      <c r="L64" s="3"/>
      <c r="M64" s="74"/>
      <c r="N64" s="142"/>
      <c r="O64" s="3"/>
      <c r="P64" s="3"/>
      <c r="Q64" s="74"/>
    </row>
    <row r="65" spans="1:17" ht="43.5">
      <c r="A65" s="3">
        <v>58</v>
      </c>
      <c r="B65" s="157"/>
      <c r="C65" s="155" t="s">
        <v>147</v>
      </c>
      <c r="D65" s="3" t="s">
        <v>72</v>
      </c>
      <c r="E65" s="158"/>
      <c r="F65" s="142"/>
      <c r="G65" s="3"/>
      <c r="H65" s="3"/>
      <c r="I65" s="74"/>
      <c r="J65" s="142"/>
      <c r="K65" s="3"/>
      <c r="L65" s="3"/>
      <c r="M65" s="74"/>
      <c r="N65" s="142"/>
      <c r="O65" s="3"/>
      <c r="P65" s="3"/>
      <c r="Q65" s="74"/>
    </row>
    <row r="66" spans="1:17" ht="87">
      <c r="A66" s="161">
        <v>59</v>
      </c>
      <c r="B66" s="54"/>
      <c r="C66" s="166" t="s">
        <v>455</v>
      </c>
      <c r="D66" s="3" t="s">
        <v>72</v>
      </c>
      <c r="E66" s="54" t="s">
        <v>261</v>
      </c>
      <c r="F66" s="142"/>
      <c r="G66" s="2">
        <f>SUM(G67,G68,G69,G75)</f>
        <v>0</v>
      </c>
      <c r="H66" s="2">
        <f>SUM(H67,H68,H69,H75)</f>
        <v>0</v>
      </c>
      <c r="I66" s="75">
        <f>SUM(I67,I68,I69,I75)</f>
        <v>0</v>
      </c>
      <c r="J66" s="142"/>
      <c r="K66" s="2">
        <f>SUM(K67,K68,K69,K75)</f>
        <v>0</v>
      </c>
      <c r="L66" s="2">
        <f>SUM(L67,L68,L69,L75)</f>
        <v>0</v>
      </c>
      <c r="M66" s="75">
        <f>SUM(M67,M68,M69,M75)</f>
        <v>0</v>
      </c>
      <c r="N66" s="142"/>
      <c r="O66" s="2">
        <f>SUM(O67,O68,O69,O75)</f>
        <v>0</v>
      </c>
      <c r="P66" s="2">
        <f>SUM(P67,P68,P69,P75)</f>
        <v>0</v>
      </c>
      <c r="Q66" s="75">
        <f>SUM(Q67,Q68,Q69,Q75)</f>
        <v>0</v>
      </c>
    </row>
    <row r="67" spans="1:17" ht="43.5">
      <c r="A67" s="3">
        <v>60</v>
      </c>
      <c r="B67" s="158"/>
      <c r="C67" s="303" t="s">
        <v>145</v>
      </c>
      <c r="D67" s="3" t="s">
        <v>72</v>
      </c>
      <c r="E67" s="158"/>
      <c r="F67" s="142"/>
      <c r="G67" s="3"/>
      <c r="H67" s="3"/>
      <c r="I67" s="74"/>
      <c r="J67" s="142"/>
      <c r="K67" s="3"/>
      <c r="L67" s="3"/>
      <c r="M67" s="74"/>
      <c r="N67" s="142"/>
      <c r="O67" s="3"/>
      <c r="P67" s="3"/>
      <c r="Q67" s="74"/>
    </row>
    <row r="68" spans="1:17" ht="43.5">
      <c r="A68" s="161">
        <v>61</v>
      </c>
      <c r="B68" s="157"/>
      <c r="C68" s="313" t="s">
        <v>146</v>
      </c>
      <c r="D68" s="158" t="s">
        <v>72</v>
      </c>
      <c r="E68" s="157"/>
      <c r="F68" s="182"/>
      <c r="G68" s="158"/>
      <c r="H68" s="158"/>
      <c r="I68" s="181"/>
      <c r="J68" s="182"/>
      <c r="K68" s="158"/>
      <c r="L68" s="158"/>
      <c r="M68" s="181"/>
      <c r="N68" s="182"/>
      <c r="O68" s="158"/>
      <c r="P68" s="158"/>
      <c r="Q68" s="181"/>
    </row>
    <row r="69" spans="1:17" ht="43.5">
      <c r="A69" s="3">
        <v>62</v>
      </c>
      <c r="B69" s="157"/>
      <c r="C69" s="303" t="s">
        <v>250</v>
      </c>
      <c r="D69" s="3" t="s">
        <v>72</v>
      </c>
      <c r="E69" s="158"/>
      <c r="F69" s="142"/>
      <c r="G69" s="2">
        <f>SUM(G70:G74)</f>
        <v>0</v>
      </c>
      <c r="H69" s="2">
        <f>SUM(H70:H74)</f>
        <v>0</v>
      </c>
      <c r="I69" s="75">
        <f>SUM(I70:I74)</f>
        <v>0</v>
      </c>
      <c r="J69" s="144"/>
      <c r="K69" s="2">
        <f>SUM(K70:K74)</f>
        <v>0</v>
      </c>
      <c r="L69" s="2">
        <f>SUM(L70:L74)</f>
        <v>0</v>
      </c>
      <c r="M69" s="75">
        <f>SUM(M70:M74)</f>
        <v>0</v>
      </c>
      <c r="N69" s="144"/>
      <c r="O69" s="2">
        <f>SUM(O70:O74)</f>
        <v>0</v>
      </c>
      <c r="P69" s="2">
        <f>SUM(P70:P74)</f>
        <v>0</v>
      </c>
      <c r="Q69" s="75">
        <f>SUM(Q70:Q74)</f>
        <v>0</v>
      </c>
    </row>
    <row r="70" spans="1:17" ht="65.25">
      <c r="A70" s="161">
        <v>63</v>
      </c>
      <c r="B70" s="157"/>
      <c r="C70" s="194" t="s">
        <v>449</v>
      </c>
      <c r="D70" s="158" t="s">
        <v>72</v>
      </c>
      <c r="E70" s="157"/>
      <c r="F70" s="182"/>
      <c r="G70" s="158"/>
      <c r="H70" s="158"/>
      <c r="I70" s="181"/>
      <c r="J70" s="182"/>
      <c r="K70" s="158"/>
      <c r="L70" s="158"/>
      <c r="M70" s="181"/>
      <c r="N70" s="182"/>
      <c r="O70" s="158"/>
      <c r="P70" s="158"/>
      <c r="Q70" s="181"/>
    </row>
    <row r="71" spans="1:17" ht="65.25">
      <c r="A71" s="3">
        <v>64</v>
      </c>
      <c r="B71" s="157"/>
      <c r="C71" s="173" t="s">
        <v>456</v>
      </c>
      <c r="D71" s="3" t="s">
        <v>72</v>
      </c>
      <c r="E71" s="157"/>
      <c r="F71" s="142"/>
      <c r="G71" s="3"/>
      <c r="H71" s="3"/>
      <c r="I71" s="74"/>
      <c r="J71" s="142"/>
      <c r="K71" s="3"/>
      <c r="L71" s="3"/>
      <c r="M71" s="74"/>
      <c r="N71" s="142"/>
      <c r="O71" s="3"/>
      <c r="P71" s="3"/>
      <c r="Q71" s="74"/>
    </row>
    <row r="72" spans="1:17" ht="65.25">
      <c r="A72" s="161">
        <v>65</v>
      </c>
      <c r="B72" s="157"/>
      <c r="C72" s="173" t="s">
        <v>457</v>
      </c>
      <c r="D72" s="3" t="s">
        <v>72</v>
      </c>
      <c r="E72" s="157"/>
      <c r="F72" s="142"/>
      <c r="G72" s="3"/>
      <c r="H72" s="3"/>
      <c r="I72" s="74"/>
      <c r="J72" s="142"/>
      <c r="K72" s="3"/>
      <c r="L72" s="3"/>
      <c r="M72" s="74"/>
      <c r="N72" s="142"/>
      <c r="O72" s="3"/>
      <c r="P72" s="3"/>
      <c r="Q72" s="74"/>
    </row>
    <row r="73" spans="1:17" ht="43.5">
      <c r="A73" s="3">
        <v>66</v>
      </c>
      <c r="B73" s="157"/>
      <c r="C73" s="173" t="s">
        <v>252</v>
      </c>
      <c r="D73" s="3" t="s">
        <v>72</v>
      </c>
      <c r="E73" s="157"/>
      <c r="F73" s="142"/>
      <c r="G73" s="3"/>
      <c r="H73" s="3"/>
      <c r="I73" s="74"/>
      <c r="J73" s="142"/>
      <c r="K73" s="3"/>
      <c r="L73" s="3"/>
      <c r="M73" s="74"/>
      <c r="N73" s="142"/>
      <c r="O73" s="3"/>
      <c r="P73" s="3"/>
      <c r="Q73" s="74"/>
    </row>
    <row r="74" spans="1:17" ht="43.5">
      <c r="A74" s="161">
        <v>67</v>
      </c>
      <c r="B74" s="157"/>
      <c r="C74" s="173" t="s">
        <v>253</v>
      </c>
      <c r="D74" s="3" t="s">
        <v>72</v>
      </c>
      <c r="E74" s="157"/>
      <c r="F74" s="142"/>
      <c r="G74" s="3"/>
      <c r="H74" s="3"/>
      <c r="I74" s="74"/>
      <c r="J74" s="142"/>
      <c r="K74" s="3"/>
      <c r="L74" s="3"/>
      <c r="M74" s="74"/>
      <c r="N74" s="142"/>
      <c r="O74" s="3"/>
      <c r="P74" s="3"/>
      <c r="Q74" s="74"/>
    </row>
    <row r="75" spans="1:17" ht="43.5">
      <c r="A75" s="3">
        <v>68</v>
      </c>
      <c r="B75" s="158"/>
      <c r="C75" s="303" t="s">
        <v>147</v>
      </c>
      <c r="D75" s="3" t="s">
        <v>72</v>
      </c>
      <c r="E75" s="158"/>
      <c r="F75" s="142"/>
      <c r="G75" s="3"/>
      <c r="H75" s="3"/>
      <c r="I75" s="74"/>
      <c r="J75" s="142"/>
      <c r="K75" s="3"/>
      <c r="L75" s="3"/>
      <c r="M75" s="74"/>
      <c r="N75" s="142"/>
      <c r="O75" s="3"/>
      <c r="P75" s="3"/>
      <c r="Q75" s="74"/>
    </row>
    <row r="76" spans="1:17" ht="108.75">
      <c r="A76" s="161">
        <v>69</v>
      </c>
      <c r="B76" s="157"/>
      <c r="C76" s="156" t="s">
        <v>458</v>
      </c>
      <c r="D76" s="3" t="s">
        <v>72</v>
      </c>
      <c r="E76" s="54" t="s">
        <v>261</v>
      </c>
      <c r="F76" s="142"/>
      <c r="G76" s="2">
        <f>SUM(G77,G78,G79,G85)</f>
        <v>0</v>
      </c>
      <c r="H76" s="2">
        <f>SUM(H77,H78,H79,H85)</f>
        <v>0</v>
      </c>
      <c r="I76" s="75">
        <f>SUM(I77,I78,I79,I85)</f>
        <v>0</v>
      </c>
      <c r="J76" s="142"/>
      <c r="K76" s="2">
        <f>SUM(K77,K78,K79,K85)</f>
        <v>0</v>
      </c>
      <c r="L76" s="2">
        <f>SUM(L77,L78,L79,L85)</f>
        <v>0</v>
      </c>
      <c r="M76" s="75">
        <f>SUM(M77,M78,M79,M85)</f>
        <v>0</v>
      </c>
      <c r="N76" s="142"/>
      <c r="O76" s="2">
        <f>SUM(O77,O78,O79,O85)</f>
        <v>0</v>
      </c>
      <c r="P76" s="2">
        <f>SUM(P77,P78,P79,P85)</f>
        <v>0</v>
      </c>
      <c r="Q76" s="75">
        <f>SUM(Q77,Q78,Q79,Q85)</f>
        <v>0</v>
      </c>
    </row>
    <row r="77" spans="1:17" ht="43.5">
      <c r="A77" s="3">
        <v>70</v>
      </c>
      <c r="B77" s="157"/>
      <c r="C77" s="155" t="s">
        <v>145</v>
      </c>
      <c r="D77" s="3" t="s">
        <v>72</v>
      </c>
      <c r="E77" s="157"/>
      <c r="F77" s="142"/>
      <c r="G77" s="3"/>
      <c r="H77" s="3"/>
      <c r="I77" s="74"/>
      <c r="J77" s="142"/>
      <c r="K77" s="3"/>
      <c r="L77" s="3"/>
      <c r="M77" s="74"/>
      <c r="N77" s="142"/>
      <c r="O77" s="3"/>
      <c r="P77" s="3"/>
      <c r="Q77" s="74"/>
    </row>
    <row r="78" spans="1:17" ht="43.5">
      <c r="A78" s="161">
        <v>71</v>
      </c>
      <c r="B78" s="157"/>
      <c r="C78" s="155" t="s">
        <v>146</v>
      </c>
      <c r="D78" s="3" t="s">
        <v>72</v>
      </c>
      <c r="E78" s="157"/>
      <c r="F78" s="142"/>
      <c r="G78" s="3"/>
      <c r="H78" s="3"/>
      <c r="I78" s="74"/>
      <c r="J78" s="142"/>
      <c r="K78" s="3"/>
      <c r="L78" s="3"/>
      <c r="M78" s="74"/>
      <c r="N78" s="142"/>
      <c r="O78" s="3"/>
      <c r="P78" s="3"/>
      <c r="Q78" s="74"/>
    </row>
    <row r="79" spans="1:17" ht="43.5">
      <c r="A79" s="3">
        <v>72</v>
      </c>
      <c r="B79" s="157"/>
      <c r="C79" s="155" t="s">
        <v>250</v>
      </c>
      <c r="D79" s="3" t="s">
        <v>72</v>
      </c>
      <c r="E79" s="157"/>
      <c r="F79" s="142"/>
      <c r="G79" s="2">
        <f>SUM(G80:G84)</f>
        <v>0</v>
      </c>
      <c r="H79" s="2">
        <f aca="true" t="shared" si="4" ref="H79:Q79">SUM(H80:H84)</f>
        <v>0</v>
      </c>
      <c r="I79" s="75">
        <f t="shared" si="4"/>
        <v>0</v>
      </c>
      <c r="J79" s="144"/>
      <c r="K79" s="2">
        <f t="shared" si="4"/>
        <v>0</v>
      </c>
      <c r="L79" s="2">
        <f t="shared" si="4"/>
        <v>0</v>
      </c>
      <c r="M79" s="75">
        <f t="shared" si="4"/>
        <v>0</v>
      </c>
      <c r="N79" s="144"/>
      <c r="O79" s="2">
        <f t="shared" si="4"/>
        <v>0</v>
      </c>
      <c r="P79" s="2">
        <f t="shared" si="4"/>
        <v>0</v>
      </c>
      <c r="Q79" s="75">
        <f t="shared" si="4"/>
        <v>0</v>
      </c>
    </row>
    <row r="80" spans="1:17" ht="65.25">
      <c r="A80" s="161">
        <v>73</v>
      </c>
      <c r="B80" s="157"/>
      <c r="C80" s="58" t="s">
        <v>449</v>
      </c>
      <c r="D80" s="3" t="s">
        <v>72</v>
      </c>
      <c r="E80" s="157"/>
      <c r="F80" s="142"/>
      <c r="G80" s="3"/>
      <c r="H80" s="3"/>
      <c r="I80" s="74"/>
      <c r="J80" s="142"/>
      <c r="K80" s="3"/>
      <c r="L80" s="3"/>
      <c r="M80" s="74"/>
      <c r="N80" s="142"/>
      <c r="O80" s="3"/>
      <c r="P80" s="3"/>
      <c r="Q80" s="74"/>
    </row>
    <row r="81" spans="1:17" ht="65.25">
      <c r="A81" s="3">
        <v>74</v>
      </c>
      <c r="B81" s="157"/>
      <c r="C81" s="58" t="s">
        <v>459</v>
      </c>
      <c r="D81" s="3" t="s">
        <v>72</v>
      </c>
      <c r="E81" s="157"/>
      <c r="F81" s="142"/>
      <c r="G81" s="3"/>
      <c r="H81" s="3"/>
      <c r="I81" s="74"/>
      <c r="J81" s="142"/>
      <c r="K81" s="3"/>
      <c r="L81" s="3"/>
      <c r="M81" s="74"/>
      <c r="N81" s="142"/>
      <c r="O81" s="3"/>
      <c r="P81" s="3"/>
      <c r="Q81" s="74"/>
    </row>
    <row r="82" spans="1:17" ht="65.25">
      <c r="A82" s="161">
        <v>75</v>
      </c>
      <c r="B82" s="157"/>
      <c r="C82" s="58" t="s">
        <v>457</v>
      </c>
      <c r="D82" s="3" t="s">
        <v>72</v>
      </c>
      <c r="E82" s="157"/>
      <c r="F82" s="142"/>
      <c r="G82" s="3"/>
      <c r="H82" s="3"/>
      <c r="I82" s="74"/>
      <c r="J82" s="142"/>
      <c r="K82" s="3"/>
      <c r="L82" s="3"/>
      <c r="M82" s="74"/>
      <c r="N82" s="142"/>
      <c r="O82" s="3"/>
      <c r="P82" s="3"/>
      <c r="Q82" s="74"/>
    </row>
    <row r="83" spans="1:17" ht="43.5">
      <c r="A83" s="3">
        <v>76</v>
      </c>
      <c r="B83" s="157"/>
      <c r="C83" s="58" t="s">
        <v>252</v>
      </c>
      <c r="D83" s="3" t="s">
        <v>72</v>
      </c>
      <c r="E83" s="157"/>
      <c r="F83" s="142"/>
      <c r="G83" s="3"/>
      <c r="H83" s="3"/>
      <c r="I83" s="74"/>
      <c r="J83" s="142"/>
      <c r="K83" s="3"/>
      <c r="L83" s="3"/>
      <c r="M83" s="74"/>
      <c r="N83" s="142"/>
      <c r="O83" s="3"/>
      <c r="P83" s="3"/>
      <c r="Q83" s="74"/>
    </row>
    <row r="84" spans="1:17" ht="43.5">
      <c r="A84" s="161">
        <v>77</v>
      </c>
      <c r="B84" s="157"/>
      <c r="C84" s="58" t="s">
        <v>253</v>
      </c>
      <c r="D84" s="3" t="s">
        <v>72</v>
      </c>
      <c r="E84" s="157"/>
      <c r="F84" s="142"/>
      <c r="G84" s="3"/>
      <c r="H84" s="3"/>
      <c r="I84" s="74"/>
      <c r="J84" s="142"/>
      <c r="K84" s="3"/>
      <c r="L84" s="3"/>
      <c r="M84" s="74"/>
      <c r="N84" s="142"/>
      <c r="O84" s="3"/>
      <c r="P84" s="3"/>
      <c r="Q84" s="74"/>
    </row>
    <row r="85" spans="1:17" ht="43.5">
      <c r="A85" s="3">
        <v>78</v>
      </c>
      <c r="B85" s="158"/>
      <c r="C85" s="155" t="s">
        <v>147</v>
      </c>
      <c r="D85" s="3" t="s">
        <v>72</v>
      </c>
      <c r="E85" s="158"/>
      <c r="F85" s="142"/>
      <c r="G85" s="3"/>
      <c r="H85" s="3"/>
      <c r="I85" s="74"/>
      <c r="J85" s="142"/>
      <c r="K85" s="3"/>
      <c r="L85" s="3"/>
      <c r="M85" s="74"/>
      <c r="N85" s="142"/>
      <c r="O85" s="3"/>
      <c r="P85" s="3"/>
      <c r="Q85" s="74"/>
    </row>
    <row r="86" spans="1:17" ht="130.5">
      <c r="A86" s="161">
        <v>79</v>
      </c>
      <c r="B86" s="54"/>
      <c r="C86" s="166" t="s">
        <v>461</v>
      </c>
      <c r="D86" s="3" t="s">
        <v>72</v>
      </c>
      <c r="E86" s="54" t="s">
        <v>261</v>
      </c>
      <c r="F86" s="142"/>
      <c r="G86" s="2">
        <f>SUM(G87,G88,G89,G95)</f>
        <v>0</v>
      </c>
      <c r="H86" s="2">
        <f>SUM(H87,H88,H89,H95)</f>
        <v>0</v>
      </c>
      <c r="I86" s="75">
        <f>SUM(I87,I88,I89,I95)</f>
        <v>0</v>
      </c>
      <c r="J86" s="142"/>
      <c r="K86" s="2">
        <f>SUM(K87,K88,K89,K95)</f>
        <v>0</v>
      </c>
      <c r="L86" s="2">
        <f>SUM(L87,L88,L89,L95)</f>
        <v>0</v>
      </c>
      <c r="M86" s="75">
        <f>SUM(M87,M88,M89,M95)</f>
        <v>0</v>
      </c>
      <c r="N86" s="142"/>
      <c r="O86" s="2">
        <f>SUM(O87,O88,O89,O95)</f>
        <v>0</v>
      </c>
      <c r="P86" s="2">
        <f>SUM(P87,P88,P89,P95)</f>
        <v>0</v>
      </c>
      <c r="Q86" s="75">
        <f>SUM(Q87,Q88,Q89,Q95)</f>
        <v>0</v>
      </c>
    </row>
    <row r="87" spans="1:17" ht="43.5">
      <c r="A87" s="3">
        <v>80</v>
      </c>
      <c r="B87" s="158"/>
      <c r="C87" s="173" t="s">
        <v>145</v>
      </c>
      <c r="D87" s="3" t="s">
        <v>72</v>
      </c>
      <c r="E87" s="158"/>
      <c r="F87" s="142"/>
      <c r="G87" s="3"/>
      <c r="H87" s="3"/>
      <c r="I87" s="74"/>
      <c r="J87" s="142"/>
      <c r="K87" s="3"/>
      <c r="L87" s="3"/>
      <c r="M87" s="74"/>
      <c r="N87" s="142"/>
      <c r="O87" s="3"/>
      <c r="P87" s="3"/>
      <c r="Q87" s="74"/>
    </row>
    <row r="88" spans="1:17" ht="43.5">
      <c r="A88" s="161">
        <v>81</v>
      </c>
      <c r="B88" s="157"/>
      <c r="C88" s="220" t="s">
        <v>146</v>
      </c>
      <c r="D88" s="158" t="s">
        <v>72</v>
      </c>
      <c r="E88" s="157"/>
      <c r="F88" s="182"/>
      <c r="G88" s="158"/>
      <c r="H88" s="158"/>
      <c r="I88" s="181"/>
      <c r="J88" s="182"/>
      <c r="K88" s="158"/>
      <c r="L88" s="158"/>
      <c r="M88" s="181"/>
      <c r="N88" s="182"/>
      <c r="O88" s="158"/>
      <c r="P88" s="158"/>
      <c r="Q88" s="181"/>
    </row>
    <row r="89" spans="1:17" ht="43.5">
      <c r="A89" s="3">
        <v>82</v>
      </c>
      <c r="B89" s="157"/>
      <c r="C89" s="155" t="s">
        <v>250</v>
      </c>
      <c r="D89" s="3" t="s">
        <v>72</v>
      </c>
      <c r="E89" s="157"/>
      <c r="F89" s="142"/>
      <c r="G89" s="2">
        <f>SUM(G90:G94)</f>
        <v>0</v>
      </c>
      <c r="H89" s="2">
        <f aca="true" t="shared" si="5" ref="H89:Q89">SUM(H90:H94)</f>
        <v>0</v>
      </c>
      <c r="I89" s="75">
        <f t="shared" si="5"/>
        <v>0</v>
      </c>
      <c r="J89" s="144"/>
      <c r="K89" s="2">
        <f t="shared" si="5"/>
        <v>0</v>
      </c>
      <c r="L89" s="2">
        <f t="shared" si="5"/>
        <v>0</v>
      </c>
      <c r="M89" s="75">
        <f t="shared" si="5"/>
        <v>0</v>
      </c>
      <c r="N89" s="144"/>
      <c r="O89" s="2">
        <f t="shared" si="5"/>
        <v>0</v>
      </c>
      <c r="P89" s="2">
        <f t="shared" si="5"/>
        <v>0</v>
      </c>
      <c r="Q89" s="75">
        <f t="shared" si="5"/>
        <v>0</v>
      </c>
    </row>
    <row r="90" spans="1:17" ht="65.25">
      <c r="A90" s="161">
        <v>83</v>
      </c>
      <c r="B90" s="157"/>
      <c r="C90" s="58" t="s">
        <v>449</v>
      </c>
      <c r="D90" s="3" t="s">
        <v>72</v>
      </c>
      <c r="E90" s="157"/>
      <c r="F90" s="142"/>
      <c r="G90" s="3"/>
      <c r="H90" s="3"/>
      <c r="I90" s="74"/>
      <c r="J90" s="142"/>
      <c r="K90" s="3"/>
      <c r="L90" s="3"/>
      <c r="M90" s="74"/>
      <c r="N90" s="142"/>
      <c r="O90" s="3"/>
      <c r="P90" s="3"/>
      <c r="Q90" s="74"/>
    </row>
    <row r="91" spans="1:17" ht="65.25">
      <c r="A91" s="3">
        <v>84</v>
      </c>
      <c r="B91" s="157"/>
      <c r="C91" s="58" t="s">
        <v>459</v>
      </c>
      <c r="D91" s="3" t="s">
        <v>72</v>
      </c>
      <c r="E91" s="157"/>
      <c r="F91" s="142"/>
      <c r="G91" s="3"/>
      <c r="H91" s="3"/>
      <c r="I91" s="74"/>
      <c r="J91" s="142"/>
      <c r="K91" s="3"/>
      <c r="L91" s="3"/>
      <c r="M91" s="74"/>
      <c r="N91" s="142"/>
      <c r="O91" s="3"/>
      <c r="P91" s="3"/>
      <c r="Q91" s="74"/>
    </row>
    <row r="92" spans="1:17" ht="65.25">
      <c r="A92" s="161">
        <v>85</v>
      </c>
      <c r="B92" s="157"/>
      <c r="C92" s="58" t="s">
        <v>457</v>
      </c>
      <c r="D92" s="3" t="s">
        <v>72</v>
      </c>
      <c r="E92" s="157"/>
      <c r="F92" s="142"/>
      <c r="G92" s="3"/>
      <c r="H92" s="3"/>
      <c r="I92" s="74"/>
      <c r="J92" s="142"/>
      <c r="K92" s="3"/>
      <c r="L92" s="3"/>
      <c r="M92" s="74"/>
      <c r="N92" s="142"/>
      <c r="O92" s="3"/>
      <c r="P92" s="3"/>
      <c r="Q92" s="74"/>
    </row>
    <row r="93" spans="1:17" ht="43.5">
      <c r="A93" s="3">
        <v>86</v>
      </c>
      <c r="B93" s="157"/>
      <c r="C93" s="58" t="s">
        <v>252</v>
      </c>
      <c r="D93" s="3" t="s">
        <v>72</v>
      </c>
      <c r="E93" s="157"/>
      <c r="F93" s="142"/>
      <c r="G93" s="3"/>
      <c r="H93" s="3"/>
      <c r="I93" s="74"/>
      <c r="J93" s="142"/>
      <c r="K93" s="3"/>
      <c r="L93" s="3"/>
      <c r="M93" s="74"/>
      <c r="N93" s="142"/>
      <c r="O93" s="3"/>
      <c r="P93" s="3"/>
      <c r="Q93" s="74"/>
    </row>
    <row r="94" spans="1:17" ht="43.5">
      <c r="A94" s="161">
        <v>87</v>
      </c>
      <c r="B94" s="157"/>
      <c r="C94" s="58" t="s">
        <v>253</v>
      </c>
      <c r="D94" s="3" t="s">
        <v>72</v>
      </c>
      <c r="E94" s="157"/>
      <c r="F94" s="142"/>
      <c r="G94" s="3"/>
      <c r="H94" s="3"/>
      <c r="I94" s="74"/>
      <c r="J94" s="142"/>
      <c r="K94" s="3"/>
      <c r="L94" s="3"/>
      <c r="M94" s="74"/>
      <c r="N94" s="142"/>
      <c r="O94" s="3"/>
      <c r="P94" s="3"/>
      <c r="Q94" s="74"/>
    </row>
    <row r="95" spans="1:17" ht="43.5">
      <c r="A95" s="3">
        <v>88</v>
      </c>
      <c r="B95" s="158"/>
      <c r="C95" s="58" t="s">
        <v>147</v>
      </c>
      <c r="D95" s="3" t="s">
        <v>72</v>
      </c>
      <c r="E95" s="158"/>
      <c r="F95" s="142"/>
      <c r="G95" s="3"/>
      <c r="H95" s="3"/>
      <c r="I95" s="74"/>
      <c r="J95" s="142"/>
      <c r="K95" s="3"/>
      <c r="L95" s="3"/>
      <c r="M95" s="74"/>
      <c r="N95" s="142"/>
      <c r="O95" s="3"/>
      <c r="P95" s="3"/>
      <c r="Q95" s="74"/>
    </row>
    <row r="96" spans="1:17" ht="65.25">
      <c r="A96" s="161">
        <v>89</v>
      </c>
      <c r="B96" s="54" t="s">
        <v>262</v>
      </c>
      <c r="C96" s="57" t="s">
        <v>386</v>
      </c>
      <c r="D96" s="3" t="s">
        <v>72</v>
      </c>
      <c r="E96" s="54" t="s">
        <v>261</v>
      </c>
      <c r="F96" s="142"/>
      <c r="G96" s="3"/>
      <c r="H96" s="3"/>
      <c r="I96" s="74"/>
      <c r="J96" s="142"/>
      <c r="K96" s="3"/>
      <c r="L96" s="3"/>
      <c r="M96" s="74"/>
      <c r="N96" s="142"/>
      <c r="O96" s="3"/>
      <c r="P96" s="3"/>
      <c r="Q96" s="74"/>
    </row>
    <row r="97" spans="1:17" ht="65.25">
      <c r="A97" s="3">
        <v>90</v>
      </c>
      <c r="B97" s="157"/>
      <c r="C97" s="57" t="s">
        <v>387</v>
      </c>
      <c r="D97" s="54" t="s">
        <v>72</v>
      </c>
      <c r="E97" s="157"/>
      <c r="F97" s="142"/>
      <c r="G97" s="3"/>
      <c r="H97" s="3"/>
      <c r="I97" s="74"/>
      <c r="J97" s="142"/>
      <c r="K97" s="3"/>
      <c r="L97" s="3"/>
      <c r="M97" s="74"/>
      <c r="N97" s="142"/>
      <c r="O97" s="3"/>
      <c r="P97" s="3"/>
      <c r="Q97" s="74"/>
    </row>
    <row r="98" spans="1:17" ht="65.25" customHeight="1">
      <c r="A98" s="161">
        <v>91</v>
      </c>
      <c r="B98" s="54" t="s">
        <v>286</v>
      </c>
      <c r="C98" s="167" t="s">
        <v>388</v>
      </c>
      <c r="D98" s="162" t="s">
        <v>72</v>
      </c>
      <c r="E98" s="54" t="s">
        <v>261</v>
      </c>
      <c r="F98" s="163"/>
      <c r="G98" s="2">
        <f>SUM(G99:G102)</f>
        <v>0</v>
      </c>
      <c r="H98" s="2">
        <f aca="true" t="shared" si="6" ref="H98:Q98">SUM(H99:H102)</f>
        <v>0</v>
      </c>
      <c r="I98" s="75">
        <f t="shared" si="6"/>
        <v>0</v>
      </c>
      <c r="J98" s="142"/>
      <c r="K98" s="2">
        <f t="shared" si="6"/>
        <v>0</v>
      </c>
      <c r="L98" s="2">
        <f t="shared" si="6"/>
        <v>0</v>
      </c>
      <c r="M98" s="75">
        <f t="shared" si="6"/>
        <v>0</v>
      </c>
      <c r="N98" s="142"/>
      <c r="O98" s="2">
        <f t="shared" si="6"/>
        <v>0</v>
      </c>
      <c r="P98" s="2">
        <f t="shared" si="6"/>
        <v>0</v>
      </c>
      <c r="Q98" s="75">
        <f t="shared" si="6"/>
        <v>0</v>
      </c>
    </row>
    <row r="99" spans="1:17" ht="21.75">
      <c r="A99" s="3">
        <v>92</v>
      </c>
      <c r="B99" s="157"/>
      <c r="C99" s="175" t="s">
        <v>148</v>
      </c>
      <c r="D99" s="168"/>
      <c r="E99" s="157"/>
      <c r="F99" s="163"/>
      <c r="G99" s="3"/>
      <c r="H99" s="3"/>
      <c r="I99" s="74"/>
      <c r="J99" s="142"/>
      <c r="K99" s="3"/>
      <c r="L99" s="3"/>
      <c r="M99" s="74"/>
      <c r="N99" s="142"/>
      <c r="O99" s="3"/>
      <c r="P99" s="3"/>
      <c r="Q99" s="74"/>
    </row>
    <row r="100" spans="1:17" ht="21.75">
      <c r="A100" s="161">
        <v>93</v>
      </c>
      <c r="B100" s="157"/>
      <c r="C100" s="175" t="s">
        <v>146</v>
      </c>
      <c r="D100" s="168"/>
      <c r="E100" s="157"/>
      <c r="F100" s="163"/>
      <c r="G100" s="3"/>
      <c r="H100" s="3"/>
      <c r="I100" s="74"/>
      <c r="J100" s="142"/>
      <c r="K100" s="3"/>
      <c r="L100" s="3"/>
      <c r="M100" s="74"/>
      <c r="N100" s="142"/>
      <c r="O100" s="3"/>
      <c r="P100" s="3"/>
      <c r="Q100" s="74"/>
    </row>
    <row r="101" spans="1:17" ht="21.75">
      <c r="A101" s="3">
        <v>94</v>
      </c>
      <c r="B101" s="157"/>
      <c r="C101" s="175" t="s">
        <v>149</v>
      </c>
      <c r="D101" s="168"/>
      <c r="E101" s="157"/>
      <c r="F101" s="163"/>
      <c r="G101" s="3"/>
      <c r="H101" s="3"/>
      <c r="I101" s="74"/>
      <c r="J101" s="142"/>
      <c r="K101" s="3"/>
      <c r="L101" s="3"/>
      <c r="M101" s="74"/>
      <c r="N101" s="142"/>
      <c r="O101" s="3"/>
      <c r="P101" s="3"/>
      <c r="Q101" s="74"/>
    </row>
    <row r="102" spans="1:17" ht="21.75">
      <c r="A102" s="161">
        <v>95</v>
      </c>
      <c r="B102" s="157"/>
      <c r="C102" s="175" t="s">
        <v>144</v>
      </c>
      <c r="D102" s="168"/>
      <c r="E102" s="157"/>
      <c r="F102" s="163"/>
      <c r="G102" s="3"/>
      <c r="H102" s="3"/>
      <c r="I102" s="74"/>
      <c r="J102" s="142"/>
      <c r="K102" s="3"/>
      <c r="L102" s="3"/>
      <c r="M102" s="74"/>
      <c r="N102" s="142"/>
      <c r="O102" s="3"/>
      <c r="P102" s="3"/>
      <c r="Q102" s="74"/>
    </row>
    <row r="103" spans="1:17" ht="65.25">
      <c r="A103" s="3">
        <v>96</v>
      </c>
      <c r="B103" s="3" t="s">
        <v>263</v>
      </c>
      <c r="C103" s="167" t="s">
        <v>462</v>
      </c>
      <c r="D103" s="3" t="s">
        <v>5</v>
      </c>
      <c r="E103" s="3" t="s">
        <v>261</v>
      </c>
      <c r="F103" s="2">
        <f>SUM(F104:F115)</f>
        <v>0</v>
      </c>
      <c r="G103" s="2">
        <f>SUM(G104:G115)</f>
        <v>0</v>
      </c>
      <c r="H103" s="2">
        <f aca="true" t="shared" si="7" ref="H103:Q103">SUM(H104:H115)</f>
        <v>0</v>
      </c>
      <c r="I103" s="75">
        <f t="shared" si="7"/>
        <v>0</v>
      </c>
      <c r="J103" s="2">
        <f t="shared" si="7"/>
        <v>0</v>
      </c>
      <c r="K103" s="2">
        <f t="shared" si="7"/>
        <v>0</v>
      </c>
      <c r="L103" s="2">
        <f t="shared" si="7"/>
        <v>0</v>
      </c>
      <c r="M103" s="75">
        <f t="shared" si="7"/>
        <v>0</v>
      </c>
      <c r="N103" s="2">
        <f t="shared" si="7"/>
        <v>0</v>
      </c>
      <c r="O103" s="2">
        <f t="shared" si="7"/>
        <v>0</v>
      </c>
      <c r="P103" s="2">
        <f t="shared" si="7"/>
        <v>0</v>
      </c>
      <c r="Q103" s="75">
        <f t="shared" si="7"/>
        <v>0</v>
      </c>
    </row>
    <row r="104" spans="1:17" ht="21.75">
      <c r="A104" s="161">
        <v>97</v>
      </c>
      <c r="B104" s="157"/>
      <c r="C104" s="203" t="s">
        <v>164</v>
      </c>
      <c r="D104" s="157"/>
      <c r="E104" s="157"/>
      <c r="F104" s="199"/>
      <c r="G104" s="158"/>
      <c r="H104" s="158"/>
      <c r="I104" s="181"/>
      <c r="J104" s="199"/>
      <c r="K104" s="199"/>
      <c r="L104" s="199"/>
      <c r="M104" s="181"/>
      <c r="N104" s="199"/>
      <c r="O104" s="199"/>
      <c r="P104" s="158"/>
      <c r="Q104" s="181"/>
    </row>
    <row r="105" spans="1:17" ht="21.75">
      <c r="A105" s="3">
        <v>98</v>
      </c>
      <c r="B105" s="157"/>
      <c r="C105" s="203" t="s">
        <v>165</v>
      </c>
      <c r="D105" s="157"/>
      <c r="E105" s="157"/>
      <c r="F105" s="199"/>
      <c r="G105" s="158"/>
      <c r="H105" s="158"/>
      <c r="I105" s="181"/>
      <c r="J105" s="199"/>
      <c r="K105" s="199"/>
      <c r="L105" s="199"/>
      <c r="M105" s="181"/>
      <c r="N105" s="199"/>
      <c r="O105" s="199"/>
      <c r="P105" s="158"/>
      <c r="Q105" s="181"/>
    </row>
    <row r="106" spans="1:17" ht="21.75">
      <c r="A106" s="161">
        <v>99</v>
      </c>
      <c r="B106" s="157"/>
      <c r="C106" s="175" t="s">
        <v>166</v>
      </c>
      <c r="D106" s="157"/>
      <c r="E106" s="157"/>
      <c r="F106" s="154"/>
      <c r="G106" s="3"/>
      <c r="H106" s="3"/>
      <c r="I106" s="74"/>
      <c r="J106" s="154"/>
      <c r="K106" s="154"/>
      <c r="L106" s="154"/>
      <c r="M106" s="74"/>
      <c r="N106" s="154"/>
      <c r="O106" s="154"/>
      <c r="P106" s="3"/>
      <c r="Q106" s="74"/>
    </row>
    <row r="107" spans="1:17" ht="21.75">
      <c r="A107" s="3">
        <v>100</v>
      </c>
      <c r="B107" s="157"/>
      <c r="C107" s="175" t="s">
        <v>167</v>
      </c>
      <c r="D107" s="157"/>
      <c r="E107" s="157"/>
      <c r="F107" s="154"/>
      <c r="G107" s="3"/>
      <c r="H107" s="3"/>
      <c r="I107" s="74"/>
      <c r="J107" s="154"/>
      <c r="K107" s="154"/>
      <c r="L107" s="154"/>
      <c r="M107" s="74"/>
      <c r="N107" s="154"/>
      <c r="O107" s="154"/>
      <c r="P107" s="3"/>
      <c r="Q107" s="74"/>
    </row>
    <row r="108" spans="1:17" ht="21.75">
      <c r="A108" s="161">
        <v>101</v>
      </c>
      <c r="B108" s="157"/>
      <c r="C108" s="175" t="s">
        <v>168</v>
      </c>
      <c r="D108" s="157"/>
      <c r="E108" s="157"/>
      <c r="F108" s="154"/>
      <c r="G108" s="3"/>
      <c r="H108" s="3"/>
      <c r="I108" s="74"/>
      <c r="J108" s="154"/>
      <c r="K108" s="154"/>
      <c r="L108" s="154"/>
      <c r="M108" s="74"/>
      <c r="N108" s="154"/>
      <c r="O108" s="154"/>
      <c r="P108" s="3"/>
      <c r="Q108" s="74"/>
    </row>
    <row r="109" spans="1:17" ht="43.5">
      <c r="A109" s="3">
        <v>102</v>
      </c>
      <c r="B109" s="157"/>
      <c r="C109" s="175" t="s">
        <v>581</v>
      </c>
      <c r="D109" s="157"/>
      <c r="E109" s="157"/>
      <c r="F109" s="154"/>
      <c r="G109" s="3"/>
      <c r="H109" s="3"/>
      <c r="I109" s="74"/>
      <c r="J109" s="154"/>
      <c r="K109" s="154"/>
      <c r="L109" s="154"/>
      <c r="M109" s="74"/>
      <c r="N109" s="154"/>
      <c r="O109" s="154"/>
      <c r="P109" s="3"/>
      <c r="Q109" s="74"/>
    </row>
    <row r="110" spans="1:17" ht="43.5">
      <c r="A110" s="161">
        <v>103</v>
      </c>
      <c r="B110" s="157"/>
      <c r="C110" s="175" t="s">
        <v>580</v>
      </c>
      <c r="D110" s="157"/>
      <c r="E110" s="157"/>
      <c r="F110" s="154"/>
      <c r="G110" s="3"/>
      <c r="H110" s="3"/>
      <c r="I110" s="74"/>
      <c r="J110" s="154"/>
      <c r="K110" s="154"/>
      <c r="L110" s="154"/>
      <c r="M110" s="74"/>
      <c r="N110" s="154"/>
      <c r="O110" s="154"/>
      <c r="P110" s="3"/>
      <c r="Q110" s="74"/>
    </row>
    <row r="111" spans="1:17" ht="21.75">
      <c r="A111" s="3">
        <v>104</v>
      </c>
      <c r="B111" s="157"/>
      <c r="C111" s="175" t="s">
        <v>169</v>
      </c>
      <c r="D111" s="157"/>
      <c r="E111" s="157"/>
      <c r="F111" s="154"/>
      <c r="G111" s="3"/>
      <c r="H111" s="3"/>
      <c r="I111" s="74"/>
      <c r="J111" s="154"/>
      <c r="K111" s="154"/>
      <c r="L111" s="154"/>
      <c r="M111" s="74"/>
      <c r="N111" s="154"/>
      <c r="O111" s="154"/>
      <c r="P111" s="3"/>
      <c r="Q111" s="74"/>
    </row>
    <row r="112" spans="1:17" ht="43.5">
      <c r="A112" s="161">
        <v>105</v>
      </c>
      <c r="B112" s="157"/>
      <c r="C112" s="175" t="s">
        <v>582</v>
      </c>
      <c r="D112" s="157"/>
      <c r="E112" s="157"/>
      <c r="F112" s="154"/>
      <c r="G112" s="3"/>
      <c r="H112" s="3"/>
      <c r="I112" s="74"/>
      <c r="J112" s="154"/>
      <c r="K112" s="154"/>
      <c r="L112" s="154"/>
      <c r="M112" s="74"/>
      <c r="N112" s="154"/>
      <c r="O112" s="154"/>
      <c r="P112" s="3"/>
      <c r="Q112" s="74"/>
    </row>
    <row r="113" spans="1:17" ht="43.5">
      <c r="A113" s="3">
        <v>106</v>
      </c>
      <c r="B113" s="157"/>
      <c r="C113" s="175" t="s">
        <v>583</v>
      </c>
      <c r="D113" s="157"/>
      <c r="E113" s="157"/>
      <c r="F113" s="154"/>
      <c r="G113" s="3"/>
      <c r="H113" s="3"/>
      <c r="I113" s="74"/>
      <c r="J113" s="154"/>
      <c r="K113" s="154"/>
      <c r="L113" s="154"/>
      <c r="M113" s="74"/>
      <c r="N113" s="154"/>
      <c r="O113" s="154"/>
      <c r="P113" s="3"/>
      <c r="Q113" s="74"/>
    </row>
    <row r="114" spans="1:17" ht="21.75">
      <c r="A114" s="161">
        <v>107</v>
      </c>
      <c r="B114" s="157"/>
      <c r="C114" s="203" t="s">
        <v>170</v>
      </c>
      <c r="D114" s="157"/>
      <c r="E114" s="157"/>
      <c r="F114" s="199"/>
      <c r="G114" s="158"/>
      <c r="H114" s="158"/>
      <c r="I114" s="181"/>
      <c r="J114" s="199"/>
      <c r="K114" s="199"/>
      <c r="L114" s="199"/>
      <c r="M114" s="181"/>
      <c r="N114" s="199"/>
      <c r="O114" s="199"/>
      <c r="P114" s="158"/>
      <c r="Q114" s="181"/>
    </row>
    <row r="115" spans="1:17" ht="21.75">
      <c r="A115" s="3">
        <v>108</v>
      </c>
      <c r="B115" s="158"/>
      <c r="C115" s="175" t="s">
        <v>171</v>
      </c>
      <c r="D115" s="158"/>
      <c r="E115" s="158"/>
      <c r="F115" s="154"/>
      <c r="G115" s="3"/>
      <c r="H115" s="3"/>
      <c r="I115" s="74"/>
      <c r="J115" s="154"/>
      <c r="K115" s="154"/>
      <c r="L115" s="154"/>
      <c r="M115" s="74"/>
      <c r="N115" s="154"/>
      <c r="O115" s="154"/>
      <c r="P115" s="3"/>
      <c r="Q115" s="74"/>
    </row>
    <row r="116" spans="1:17" ht="24" customHeight="1">
      <c r="A116" s="161">
        <v>109</v>
      </c>
      <c r="B116" s="157"/>
      <c r="C116" s="198" t="s">
        <v>463</v>
      </c>
      <c r="D116" s="54" t="s">
        <v>5</v>
      </c>
      <c r="E116" s="54" t="s">
        <v>261</v>
      </c>
      <c r="F116" s="2">
        <f>SUM(F117:F128)</f>
        <v>0</v>
      </c>
      <c r="G116" s="2">
        <f>SUM(G117:G128)</f>
        <v>0</v>
      </c>
      <c r="H116" s="2">
        <f aca="true" t="shared" si="8" ref="H116:Q116">SUM(H117:H128)</f>
        <v>0</v>
      </c>
      <c r="I116" s="75">
        <f t="shared" si="8"/>
        <v>0</v>
      </c>
      <c r="J116" s="2">
        <f t="shared" si="8"/>
        <v>0</v>
      </c>
      <c r="K116" s="2">
        <f t="shared" si="8"/>
        <v>0</v>
      </c>
      <c r="L116" s="2">
        <f t="shared" si="8"/>
        <v>0</v>
      </c>
      <c r="M116" s="75">
        <f t="shared" si="8"/>
        <v>0</v>
      </c>
      <c r="N116" s="2">
        <f t="shared" si="8"/>
        <v>0</v>
      </c>
      <c r="O116" s="2">
        <f t="shared" si="8"/>
        <v>0</v>
      </c>
      <c r="P116" s="2">
        <f t="shared" si="8"/>
        <v>0</v>
      </c>
      <c r="Q116" s="75">
        <f t="shared" si="8"/>
        <v>0</v>
      </c>
    </row>
    <row r="117" spans="1:17" ht="21.75">
      <c r="A117" s="3">
        <v>110</v>
      </c>
      <c r="B117" s="157"/>
      <c r="C117" s="195" t="s">
        <v>164</v>
      </c>
      <c r="D117" s="157"/>
      <c r="E117" s="157"/>
      <c r="F117" s="154"/>
      <c r="G117" s="3"/>
      <c r="H117" s="3"/>
      <c r="I117" s="74"/>
      <c r="J117" s="154"/>
      <c r="K117" s="154"/>
      <c r="L117" s="154"/>
      <c r="M117" s="74"/>
      <c r="N117" s="154"/>
      <c r="O117" s="154"/>
      <c r="P117" s="154"/>
      <c r="Q117" s="74"/>
    </row>
    <row r="118" spans="1:17" ht="21.75">
      <c r="A118" s="161">
        <v>111</v>
      </c>
      <c r="B118" s="157"/>
      <c r="C118" s="195" t="s">
        <v>165</v>
      </c>
      <c r="D118" s="157"/>
      <c r="E118" s="157"/>
      <c r="F118" s="154"/>
      <c r="G118" s="3"/>
      <c r="H118" s="3"/>
      <c r="I118" s="74"/>
      <c r="J118" s="154"/>
      <c r="K118" s="154"/>
      <c r="L118" s="154"/>
      <c r="M118" s="74"/>
      <c r="N118" s="154"/>
      <c r="O118" s="154"/>
      <c r="P118" s="154"/>
      <c r="Q118" s="74"/>
    </row>
    <row r="119" spans="1:17" ht="21.75">
      <c r="A119" s="3">
        <v>112</v>
      </c>
      <c r="B119" s="157"/>
      <c r="C119" s="195" t="s">
        <v>166</v>
      </c>
      <c r="D119" s="157"/>
      <c r="E119" s="157"/>
      <c r="F119" s="154"/>
      <c r="G119" s="3"/>
      <c r="H119" s="3"/>
      <c r="I119" s="74"/>
      <c r="J119" s="154"/>
      <c r="K119" s="154"/>
      <c r="L119" s="154"/>
      <c r="M119" s="74"/>
      <c r="N119" s="154"/>
      <c r="O119" s="154"/>
      <c r="P119" s="154"/>
      <c r="Q119" s="74"/>
    </row>
    <row r="120" spans="1:17" ht="21.75">
      <c r="A120" s="161">
        <v>113</v>
      </c>
      <c r="B120" s="157"/>
      <c r="C120" s="195" t="s">
        <v>167</v>
      </c>
      <c r="D120" s="157"/>
      <c r="E120" s="157"/>
      <c r="F120" s="154"/>
      <c r="G120" s="3"/>
      <c r="H120" s="3"/>
      <c r="I120" s="74"/>
      <c r="J120" s="154"/>
      <c r="K120" s="154"/>
      <c r="L120" s="154"/>
      <c r="M120" s="74"/>
      <c r="N120" s="154"/>
      <c r="O120" s="154"/>
      <c r="P120" s="154"/>
      <c r="Q120" s="74"/>
    </row>
    <row r="121" spans="1:17" ht="21.75">
      <c r="A121" s="3">
        <v>114</v>
      </c>
      <c r="B121" s="157"/>
      <c r="C121" s="195" t="s">
        <v>168</v>
      </c>
      <c r="D121" s="157"/>
      <c r="E121" s="157"/>
      <c r="F121" s="154"/>
      <c r="G121" s="3"/>
      <c r="H121" s="3"/>
      <c r="I121" s="74"/>
      <c r="J121" s="154"/>
      <c r="K121" s="154"/>
      <c r="L121" s="154"/>
      <c r="M121" s="74"/>
      <c r="N121" s="154"/>
      <c r="O121" s="154"/>
      <c r="P121" s="154"/>
      <c r="Q121" s="74"/>
    </row>
    <row r="122" spans="1:17" ht="43.5">
      <c r="A122" s="161">
        <v>115</v>
      </c>
      <c r="B122" s="157"/>
      <c r="C122" s="195" t="s">
        <v>581</v>
      </c>
      <c r="D122" s="157"/>
      <c r="E122" s="157"/>
      <c r="F122" s="154"/>
      <c r="G122" s="3"/>
      <c r="H122" s="3"/>
      <c r="I122" s="74"/>
      <c r="J122" s="154"/>
      <c r="K122" s="154"/>
      <c r="L122" s="154"/>
      <c r="M122" s="74"/>
      <c r="N122" s="154"/>
      <c r="O122" s="154"/>
      <c r="P122" s="154"/>
      <c r="Q122" s="74"/>
    </row>
    <row r="123" spans="1:17" ht="43.5">
      <c r="A123" s="3">
        <v>116</v>
      </c>
      <c r="B123" s="157"/>
      <c r="C123" s="195" t="s">
        <v>580</v>
      </c>
      <c r="D123" s="157"/>
      <c r="E123" s="157"/>
      <c r="F123" s="154"/>
      <c r="G123" s="3"/>
      <c r="H123" s="3"/>
      <c r="I123" s="74"/>
      <c r="J123" s="154"/>
      <c r="K123" s="154"/>
      <c r="L123" s="154"/>
      <c r="M123" s="74"/>
      <c r="N123" s="154"/>
      <c r="O123" s="154"/>
      <c r="P123" s="154"/>
      <c r="Q123" s="74"/>
    </row>
    <row r="124" spans="1:17" ht="21.75">
      <c r="A124" s="161">
        <v>117</v>
      </c>
      <c r="B124" s="157"/>
      <c r="C124" s="195" t="s">
        <v>169</v>
      </c>
      <c r="D124" s="157"/>
      <c r="E124" s="157"/>
      <c r="F124" s="154"/>
      <c r="G124" s="3"/>
      <c r="H124" s="3"/>
      <c r="I124" s="74"/>
      <c r="J124" s="154"/>
      <c r="K124" s="154"/>
      <c r="L124" s="154"/>
      <c r="M124" s="74"/>
      <c r="N124" s="154"/>
      <c r="O124" s="154"/>
      <c r="P124" s="154"/>
      <c r="Q124" s="74"/>
    </row>
    <row r="125" spans="1:17" ht="43.5">
      <c r="A125" s="3">
        <v>118</v>
      </c>
      <c r="B125" s="157"/>
      <c r="C125" s="195" t="s">
        <v>582</v>
      </c>
      <c r="D125" s="157"/>
      <c r="E125" s="157"/>
      <c r="F125" s="154"/>
      <c r="G125" s="3"/>
      <c r="H125" s="3"/>
      <c r="I125" s="74"/>
      <c r="J125" s="154"/>
      <c r="K125" s="154"/>
      <c r="L125" s="154"/>
      <c r="M125" s="74"/>
      <c r="N125" s="154"/>
      <c r="O125" s="154"/>
      <c r="P125" s="154"/>
      <c r="Q125" s="74"/>
    </row>
    <row r="126" spans="1:17" ht="43.5">
      <c r="A126" s="161">
        <v>119</v>
      </c>
      <c r="B126" s="157"/>
      <c r="C126" s="195" t="s">
        <v>583</v>
      </c>
      <c r="D126" s="157"/>
      <c r="E126" s="157"/>
      <c r="F126" s="154"/>
      <c r="G126" s="3"/>
      <c r="H126" s="3"/>
      <c r="I126" s="74"/>
      <c r="J126" s="154"/>
      <c r="K126" s="154"/>
      <c r="L126" s="154"/>
      <c r="M126" s="74"/>
      <c r="N126" s="154"/>
      <c r="O126" s="154"/>
      <c r="P126" s="154"/>
      <c r="Q126" s="74"/>
    </row>
    <row r="127" spans="1:17" ht="21.75">
      <c r="A127" s="3">
        <v>120</v>
      </c>
      <c r="B127" s="157"/>
      <c r="C127" s="195" t="s">
        <v>170</v>
      </c>
      <c r="D127" s="157"/>
      <c r="E127" s="157"/>
      <c r="F127" s="154"/>
      <c r="G127" s="3"/>
      <c r="H127" s="3"/>
      <c r="I127" s="74"/>
      <c r="J127" s="154"/>
      <c r="K127" s="154"/>
      <c r="L127" s="154"/>
      <c r="M127" s="74"/>
      <c r="N127" s="154"/>
      <c r="O127" s="154"/>
      <c r="P127" s="154"/>
      <c r="Q127" s="74"/>
    </row>
    <row r="128" spans="1:17" ht="21.75">
      <c r="A128" s="161">
        <v>121</v>
      </c>
      <c r="B128" s="158"/>
      <c r="C128" s="195" t="s">
        <v>171</v>
      </c>
      <c r="D128" s="158"/>
      <c r="E128" s="158"/>
      <c r="F128" s="154"/>
      <c r="G128" s="3"/>
      <c r="H128" s="3"/>
      <c r="I128" s="74"/>
      <c r="J128" s="154"/>
      <c r="K128" s="154"/>
      <c r="L128" s="154"/>
      <c r="M128" s="74"/>
      <c r="N128" s="154"/>
      <c r="O128" s="154"/>
      <c r="P128" s="154"/>
      <c r="Q128" s="74"/>
    </row>
    <row r="129" spans="1:17" ht="21.75" customHeight="1">
      <c r="A129" s="3">
        <v>122</v>
      </c>
      <c r="B129" s="331" t="s">
        <v>265</v>
      </c>
      <c r="C129" s="167" t="s">
        <v>464</v>
      </c>
      <c r="D129" s="54" t="s">
        <v>74</v>
      </c>
      <c r="E129" s="54" t="s">
        <v>261</v>
      </c>
      <c r="F129" s="2">
        <f>SUM(F130:F138)</f>
        <v>0</v>
      </c>
      <c r="G129" s="2">
        <f aca="true" t="shared" si="9" ref="G129:Q129">SUM(G130:G138)</f>
        <v>0</v>
      </c>
      <c r="H129" s="2">
        <f t="shared" si="9"/>
        <v>0</v>
      </c>
      <c r="I129" s="75">
        <f t="shared" si="9"/>
        <v>0</v>
      </c>
      <c r="J129" s="2">
        <f t="shared" si="9"/>
        <v>0</v>
      </c>
      <c r="K129" s="2">
        <f t="shared" si="9"/>
        <v>0</v>
      </c>
      <c r="L129" s="2">
        <f t="shared" si="9"/>
        <v>0</v>
      </c>
      <c r="M129" s="75">
        <f t="shared" si="9"/>
        <v>0</v>
      </c>
      <c r="N129" s="2">
        <f t="shared" si="9"/>
        <v>0</v>
      </c>
      <c r="O129" s="2">
        <f t="shared" si="9"/>
        <v>0</v>
      </c>
      <c r="P129" s="2">
        <f t="shared" si="9"/>
        <v>0</v>
      </c>
      <c r="Q129" s="75">
        <f t="shared" si="9"/>
        <v>0</v>
      </c>
    </row>
    <row r="130" spans="1:17" ht="21.75">
      <c r="A130" s="161">
        <v>123</v>
      </c>
      <c r="B130" s="332"/>
      <c r="C130" s="175" t="s">
        <v>156</v>
      </c>
      <c r="D130" s="157"/>
      <c r="E130" s="157"/>
      <c r="F130" s="154"/>
      <c r="G130" s="154"/>
      <c r="H130" s="154"/>
      <c r="I130" s="74"/>
      <c r="J130" s="154"/>
      <c r="K130" s="154"/>
      <c r="L130" s="154"/>
      <c r="M130" s="74"/>
      <c r="N130" s="154"/>
      <c r="O130" s="154"/>
      <c r="P130" s="154"/>
      <c r="Q130" s="74"/>
    </row>
    <row r="131" spans="1:17" ht="21.75">
      <c r="A131" s="3">
        <v>124</v>
      </c>
      <c r="B131" s="333"/>
      <c r="C131" s="175" t="s">
        <v>157</v>
      </c>
      <c r="D131" s="158"/>
      <c r="E131" s="158"/>
      <c r="F131" s="154"/>
      <c r="G131" s="154"/>
      <c r="H131" s="154"/>
      <c r="I131" s="74"/>
      <c r="J131" s="154"/>
      <c r="K131" s="154"/>
      <c r="L131" s="154"/>
      <c r="M131" s="74"/>
      <c r="N131" s="154"/>
      <c r="O131" s="154"/>
      <c r="P131" s="154"/>
      <c r="Q131" s="74"/>
    </row>
    <row r="132" spans="1:17" ht="21.75">
      <c r="A132" s="161">
        <v>125</v>
      </c>
      <c r="B132" s="54"/>
      <c r="C132" s="203" t="s">
        <v>158</v>
      </c>
      <c r="D132" s="54"/>
      <c r="E132" s="54"/>
      <c r="F132" s="199"/>
      <c r="G132" s="199"/>
      <c r="H132" s="199"/>
      <c r="I132" s="181"/>
      <c r="J132" s="199"/>
      <c r="K132" s="199"/>
      <c r="L132" s="199"/>
      <c r="M132" s="181"/>
      <c r="N132" s="199"/>
      <c r="O132" s="199"/>
      <c r="P132" s="199"/>
      <c r="Q132" s="181"/>
    </row>
    <row r="133" spans="1:17" ht="21.75">
      <c r="A133" s="3">
        <v>126</v>
      </c>
      <c r="B133" s="157"/>
      <c r="C133" s="203" t="s">
        <v>159</v>
      </c>
      <c r="D133" s="157"/>
      <c r="E133" s="157"/>
      <c r="F133" s="199"/>
      <c r="G133" s="199"/>
      <c r="H133" s="199"/>
      <c r="I133" s="181"/>
      <c r="J133" s="199"/>
      <c r="K133" s="199"/>
      <c r="L133" s="199"/>
      <c r="M133" s="181"/>
      <c r="N133" s="199"/>
      <c r="O133" s="199"/>
      <c r="P133" s="199"/>
      <c r="Q133" s="181"/>
    </row>
    <row r="134" spans="1:17" ht="21.75">
      <c r="A134" s="161">
        <v>127</v>
      </c>
      <c r="B134" s="157"/>
      <c r="C134" s="175" t="s">
        <v>160</v>
      </c>
      <c r="D134" s="157"/>
      <c r="E134" s="157"/>
      <c r="F134" s="154"/>
      <c r="G134" s="154"/>
      <c r="H134" s="154"/>
      <c r="I134" s="74"/>
      <c r="J134" s="154"/>
      <c r="K134" s="154"/>
      <c r="L134" s="154"/>
      <c r="M134" s="74"/>
      <c r="N134" s="154"/>
      <c r="O134" s="154"/>
      <c r="P134" s="154"/>
      <c r="Q134" s="74"/>
    </row>
    <row r="135" spans="1:17" ht="21.75">
      <c r="A135" s="3">
        <v>128</v>
      </c>
      <c r="B135" s="157"/>
      <c r="C135" s="175" t="s">
        <v>161</v>
      </c>
      <c r="D135" s="157"/>
      <c r="E135" s="157"/>
      <c r="F135" s="154"/>
      <c r="G135" s="154"/>
      <c r="H135" s="154"/>
      <c r="I135" s="74"/>
      <c r="J135" s="154"/>
      <c r="K135" s="154"/>
      <c r="L135" s="154"/>
      <c r="M135" s="74"/>
      <c r="N135" s="154"/>
      <c r="O135" s="154"/>
      <c r="P135" s="154"/>
      <c r="Q135" s="74"/>
    </row>
    <row r="136" spans="1:17" ht="43.5">
      <c r="A136" s="161">
        <v>129</v>
      </c>
      <c r="B136" s="157"/>
      <c r="C136" s="175" t="s">
        <v>264</v>
      </c>
      <c r="D136" s="157"/>
      <c r="E136" s="157"/>
      <c r="F136" s="154"/>
      <c r="G136" s="154"/>
      <c r="H136" s="154"/>
      <c r="I136" s="74"/>
      <c r="J136" s="154"/>
      <c r="K136" s="154"/>
      <c r="L136" s="154"/>
      <c r="M136" s="74"/>
      <c r="N136" s="154"/>
      <c r="O136" s="154"/>
      <c r="P136" s="154"/>
      <c r="Q136" s="74"/>
    </row>
    <row r="137" spans="1:17" ht="21.75">
      <c r="A137" s="3">
        <v>130</v>
      </c>
      <c r="B137" s="157"/>
      <c r="C137" s="175" t="s">
        <v>162</v>
      </c>
      <c r="D137" s="157"/>
      <c r="E137" s="157"/>
      <c r="F137" s="154"/>
      <c r="G137" s="154"/>
      <c r="H137" s="154"/>
      <c r="I137" s="74"/>
      <c r="J137" s="154"/>
      <c r="K137" s="154"/>
      <c r="L137" s="154"/>
      <c r="M137" s="74"/>
      <c r="N137" s="154"/>
      <c r="O137" s="154"/>
      <c r="P137" s="154"/>
      <c r="Q137" s="74"/>
    </row>
    <row r="138" spans="1:17" ht="21.75">
      <c r="A138" s="161">
        <v>131</v>
      </c>
      <c r="B138" s="158"/>
      <c r="C138" s="175" t="s">
        <v>163</v>
      </c>
      <c r="D138" s="158"/>
      <c r="E138" s="158"/>
      <c r="F138" s="154"/>
      <c r="G138" s="154"/>
      <c r="H138" s="154"/>
      <c r="I138" s="74"/>
      <c r="J138" s="154"/>
      <c r="K138" s="154"/>
      <c r="L138" s="154"/>
      <c r="M138" s="74"/>
      <c r="N138" s="154"/>
      <c r="O138" s="154"/>
      <c r="P138" s="154"/>
      <c r="Q138" s="74"/>
    </row>
    <row r="139" spans="1:17" ht="43.5">
      <c r="A139" s="3">
        <v>132</v>
      </c>
      <c r="B139" s="330" t="s">
        <v>374</v>
      </c>
      <c r="C139" s="278" t="s">
        <v>566</v>
      </c>
      <c r="D139" s="257" t="s">
        <v>5</v>
      </c>
      <c r="E139" s="257" t="s">
        <v>261</v>
      </c>
      <c r="F139" s="154"/>
      <c r="G139" s="3"/>
      <c r="H139" s="3"/>
      <c r="I139" s="74"/>
      <c r="J139" s="154"/>
      <c r="K139" s="154"/>
      <c r="L139" s="154"/>
      <c r="M139" s="74"/>
      <c r="N139" s="154"/>
      <c r="O139" s="154"/>
      <c r="P139" s="154"/>
      <c r="Q139" s="74"/>
    </row>
    <row r="140" spans="1:17" ht="65.25">
      <c r="A140" s="161">
        <v>133</v>
      </c>
      <c r="B140" s="330"/>
      <c r="C140" s="278" t="s">
        <v>567</v>
      </c>
      <c r="D140" s="265"/>
      <c r="E140" s="265"/>
      <c r="F140" s="154"/>
      <c r="G140" s="3"/>
      <c r="H140" s="3"/>
      <c r="I140" s="74"/>
      <c r="J140" s="154"/>
      <c r="K140" s="154"/>
      <c r="L140" s="154"/>
      <c r="M140" s="74"/>
      <c r="N140" s="154"/>
      <c r="O140" s="154"/>
      <c r="P140" s="154"/>
      <c r="Q140" s="74"/>
    </row>
    <row r="141" spans="1:17" ht="43.5">
      <c r="A141" s="3">
        <v>134</v>
      </c>
      <c r="B141" s="265"/>
      <c r="C141" s="278" t="s">
        <v>568</v>
      </c>
      <c r="D141" s="265"/>
      <c r="E141" s="265"/>
      <c r="F141" s="154"/>
      <c r="G141" s="3"/>
      <c r="H141" s="3"/>
      <c r="I141" s="74"/>
      <c r="J141" s="154"/>
      <c r="K141" s="154"/>
      <c r="L141" s="154"/>
      <c r="M141" s="74"/>
      <c r="N141" s="154"/>
      <c r="O141" s="154"/>
      <c r="P141" s="154"/>
      <c r="Q141" s="74"/>
    </row>
    <row r="142" spans="1:17" ht="43.5">
      <c r="A142" s="161">
        <v>135</v>
      </c>
      <c r="B142" s="265"/>
      <c r="C142" s="278" t="s">
        <v>569</v>
      </c>
      <c r="D142" s="265"/>
      <c r="E142" s="265"/>
      <c r="F142" s="154"/>
      <c r="G142" s="3"/>
      <c r="H142" s="3"/>
      <c r="I142" s="74"/>
      <c r="J142" s="154"/>
      <c r="K142" s="154"/>
      <c r="L142" s="154"/>
      <c r="M142" s="74"/>
      <c r="N142" s="154"/>
      <c r="O142" s="154"/>
      <c r="P142" s="154"/>
      <c r="Q142" s="74"/>
    </row>
    <row r="143" spans="1:17" ht="65.25">
      <c r="A143" s="3">
        <v>136</v>
      </c>
      <c r="B143" s="265"/>
      <c r="C143" s="278" t="s">
        <v>570</v>
      </c>
      <c r="D143" s="265"/>
      <c r="E143" s="265"/>
      <c r="F143" s="154"/>
      <c r="G143" s="3"/>
      <c r="H143" s="3"/>
      <c r="I143" s="74"/>
      <c r="J143" s="154"/>
      <c r="K143" s="154"/>
      <c r="L143" s="154"/>
      <c r="M143" s="74"/>
      <c r="N143" s="154"/>
      <c r="O143" s="154"/>
      <c r="P143" s="154"/>
      <c r="Q143" s="74"/>
    </row>
    <row r="144" spans="1:17" ht="65.25">
      <c r="A144" s="161">
        <v>137</v>
      </c>
      <c r="B144" s="265"/>
      <c r="C144" s="278" t="s">
        <v>571</v>
      </c>
      <c r="D144" s="265"/>
      <c r="E144" s="265"/>
      <c r="F144" s="154"/>
      <c r="G144" s="3"/>
      <c r="H144" s="3"/>
      <c r="I144" s="74"/>
      <c r="J144" s="154"/>
      <c r="K144" s="154"/>
      <c r="L144" s="154"/>
      <c r="M144" s="74"/>
      <c r="N144" s="154"/>
      <c r="O144" s="154"/>
      <c r="P144" s="154"/>
      <c r="Q144" s="74"/>
    </row>
    <row r="145" spans="1:17" ht="65.25">
      <c r="A145" s="3">
        <v>138</v>
      </c>
      <c r="B145" s="265"/>
      <c r="C145" s="270" t="s">
        <v>572</v>
      </c>
      <c r="D145" s="265"/>
      <c r="E145" s="265"/>
      <c r="F145" s="2">
        <f>SUM(F146:F147)</f>
        <v>0</v>
      </c>
      <c r="G145" s="2">
        <f aca="true" t="shared" si="10" ref="G145:Q145">SUM(G146:G147)</f>
        <v>0</v>
      </c>
      <c r="H145" s="2">
        <f t="shared" si="10"/>
        <v>0</v>
      </c>
      <c r="I145" s="75">
        <f t="shared" si="10"/>
        <v>0</v>
      </c>
      <c r="J145" s="2">
        <f t="shared" si="10"/>
        <v>0</v>
      </c>
      <c r="K145" s="2">
        <f t="shared" si="10"/>
        <v>0</v>
      </c>
      <c r="L145" s="2">
        <f t="shared" si="10"/>
        <v>0</v>
      </c>
      <c r="M145" s="75">
        <f t="shared" si="10"/>
        <v>0</v>
      </c>
      <c r="N145" s="2">
        <f t="shared" si="10"/>
        <v>0</v>
      </c>
      <c r="O145" s="2">
        <f t="shared" si="10"/>
        <v>0</v>
      </c>
      <c r="P145" s="2">
        <f t="shared" si="10"/>
        <v>0</v>
      </c>
      <c r="Q145" s="75">
        <f t="shared" si="10"/>
        <v>0</v>
      </c>
    </row>
    <row r="146" spans="1:17" ht="43.5">
      <c r="A146" s="161">
        <v>139</v>
      </c>
      <c r="B146" s="265"/>
      <c r="C146" s="271" t="s">
        <v>389</v>
      </c>
      <c r="D146" s="265"/>
      <c r="E146" s="265"/>
      <c r="F146" s="154"/>
      <c r="G146" s="3"/>
      <c r="H146" s="3"/>
      <c r="I146" s="74"/>
      <c r="J146" s="154"/>
      <c r="K146" s="154"/>
      <c r="L146" s="154"/>
      <c r="M146" s="74"/>
      <c r="N146" s="154"/>
      <c r="O146" s="3"/>
      <c r="P146" s="3"/>
      <c r="Q146" s="74"/>
    </row>
    <row r="147" spans="1:17" ht="43.5">
      <c r="A147" s="3">
        <v>140</v>
      </c>
      <c r="B147" s="265"/>
      <c r="C147" s="271" t="s">
        <v>390</v>
      </c>
      <c r="D147" s="265"/>
      <c r="E147" s="265"/>
      <c r="F147" s="154"/>
      <c r="G147" s="3"/>
      <c r="H147" s="3"/>
      <c r="I147" s="74"/>
      <c r="J147" s="154"/>
      <c r="K147" s="154"/>
      <c r="L147" s="154"/>
      <c r="M147" s="74"/>
      <c r="N147" s="154"/>
      <c r="O147" s="3"/>
      <c r="P147" s="3"/>
      <c r="Q147" s="74"/>
    </row>
    <row r="148" spans="1:17" ht="43.5">
      <c r="A148" s="161">
        <v>141</v>
      </c>
      <c r="B148" s="256"/>
      <c r="C148" s="270" t="s">
        <v>573</v>
      </c>
      <c r="D148" s="256" t="s">
        <v>5</v>
      </c>
      <c r="E148" s="256"/>
      <c r="F148" s="2"/>
      <c r="G148" s="2"/>
      <c r="H148" s="2"/>
      <c r="I148" s="75"/>
      <c r="J148" s="154"/>
      <c r="K148" s="200"/>
      <c r="L148" s="200"/>
      <c r="M148" s="75"/>
      <c r="N148" s="154"/>
      <c r="O148" s="200"/>
      <c r="P148" s="200"/>
      <c r="Q148" s="75"/>
    </row>
    <row r="149" spans="1:17" ht="84">
      <c r="A149" s="3">
        <v>142</v>
      </c>
      <c r="B149" s="265"/>
      <c r="C149" s="275" t="s">
        <v>574</v>
      </c>
      <c r="D149" s="256" t="s">
        <v>21</v>
      </c>
      <c r="E149" s="265" t="s">
        <v>261</v>
      </c>
      <c r="F149" s="199"/>
      <c r="G149" s="158"/>
      <c r="H149" s="158"/>
      <c r="I149" s="181"/>
      <c r="J149" s="199"/>
      <c r="K149" s="199"/>
      <c r="L149" s="199"/>
      <c r="M149" s="181"/>
      <c r="N149" s="199"/>
      <c r="O149" s="199"/>
      <c r="P149" s="199"/>
      <c r="Q149" s="181"/>
    </row>
    <row r="150" spans="1:17" ht="108.75">
      <c r="A150" s="161">
        <v>143</v>
      </c>
      <c r="B150" s="254" t="s">
        <v>267</v>
      </c>
      <c r="C150" s="269" t="s">
        <v>563</v>
      </c>
      <c r="D150" s="274" t="s">
        <v>5</v>
      </c>
      <c r="E150" s="254" t="s">
        <v>261</v>
      </c>
      <c r="F150" s="201"/>
      <c r="G150" s="2"/>
      <c r="H150" s="2"/>
      <c r="I150" s="75"/>
      <c r="J150" s="200"/>
      <c r="K150" s="200"/>
      <c r="L150" s="200"/>
      <c r="M150" s="75"/>
      <c r="N150" s="200"/>
      <c r="O150" s="200"/>
      <c r="P150" s="200"/>
      <c r="Q150" s="75"/>
    </row>
    <row r="151" spans="1:17" ht="87">
      <c r="A151" s="158">
        <v>144</v>
      </c>
      <c r="B151" s="282"/>
      <c r="C151" s="268" t="s">
        <v>584</v>
      </c>
      <c r="D151" s="276" t="s">
        <v>47</v>
      </c>
      <c r="E151" s="282"/>
      <c r="F151" s="202"/>
      <c r="G151" s="204"/>
      <c r="H151" s="204"/>
      <c r="I151" s="212"/>
      <c r="J151" s="213"/>
      <c r="K151" s="213"/>
      <c r="L151" s="213"/>
      <c r="M151" s="212"/>
      <c r="N151" s="213"/>
      <c r="O151" s="213"/>
      <c r="P151" s="213"/>
      <c r="Q151" s="212"/>
    </row>
    <row r="152" spans="1:17" ht="87">
      <c r="A152" s="161">
        <v>145</v>
      </c>
      <c r="B152" s="256"/>
      <c r="C152" s="268" t="s">
        <v>266</v>
      </c>
      <c r="D152" s="276" t="s">
        <v>47</v>
      </c>
      <c r="E152" s="256"/>
      <c r="F152" s="202"/>
      <c r="G152" s="158"/>
      <c r="H152" s="158"/>
      <c r="I152" s="181"/>
      <c r="J152" s="199"/>
      <c r="K152" s="199"/>
      <c r="L152" s="199"/>
      <c r="M152" s="181"/>
      <c r="N152" s="199"/>
      <c r="O152" s="199"/>
      <c r="P152" s="199"/>
      <c r="Q152" s="181"/>
    </row>
    <row r="153" spans="1:17" ht="108.75">
      <c r="A153" s="3">
        <v>146</v>
      </c>
      <c r="B153" s="265"/>
      <c r="C153" s="275" t="s">
        <v>564</v>
      </c>
      <c r="D153" s="276" t="s">
        <v>5</v>
      </c>
      <c r="E153" s="265"/>
      <c r="F153" s="202"/>
      <c r="G153" s="158"/>
      <c r="H153" s="158"/>
      <c r="I153" s="181"/>
      <c r="J153" s="199"/>
      <c r="K153" s="199"/>
      <c r="L153" s="199"/>
      <c r="M153" s="181"/>
      <c r="N153" s="199"/>
      <c r="O153" s="199"/>
      <c r="P153" s="199"/>
      <c r="Q153" s="181"/>
    </row>
    <row r="154" spans="1:17" ht="87">
      <c r="A154" s="161">
        <v>147</v>
      </c>
      <c r="B154" s="265"/>
      <c r="C154" s="267" t="s">
        <v>584</v>
      </c>
      <c r="D154" s="274" t="s">
        <v>47</v>
      </c>
      <c r="E154" s="265"/>
      <c r="F154" s="201"/>
      <c r="G154" s="2"/>
      <c r="H154" s="2"/>
      <c r="I154" s="75"/>
      <c r="J154" s="200"/>
      <c r="K154" s="200"/>
      <c r="L154" s="200"/>
      <c r="M154" s="75"/>
      <c r="N154" s="200"/>
      <c r="O154" s="200"/>
      <c r="P154" s="200"/>
      <c r="Q154" s="75"/>
    </row>
    <row r="155" spans="1:17" ht="87">
      <c r="A155" s="3">
        <v>148</v>
      </c>
      <c r="B155" s="265"/>
      <c r="C155" s="267" t="s">
        <v>266</v>
      </c>
      <c r="D155" s="274" t="s">
        <v>47</v>
      </c>
      <c r="E155" s="265"/>
      <c r="F155" s="201"/>
      <c r="G155" s="3"/>
      <c r="H155" s="3"/>
      <c r="I155" s="74"/>
      <c r="J155" s="154"/>
      <c r="K155" s="154"/>
      <c r="L155" s="154"/>
      <c r="M155" s="74"/>
      <c r="N155" s="154"/>
      <c r="O155" s="154"/>
      <c r="P155" s="154"/>
      <c r="Q155" s="74"/>
    </row>
    <row r="156" spans="1:17" ht="108.75">
      <c r="A156" s="161">
        <v>149</v>
      </c>
      <c r="B156" s="265"/>
      <c r="C156" s="269" t="s">
        <v>565</v>
      </c>
      <c r="D156" s="274" t="s">
        <v>5</v>
      </c>
      <c r="E156" s="265"/>
      <c r="F156" s="201"/>
      <c r="G156" s="3"/>
      <c r="H156" s="3"/>
      <c r="I156" s="74"/>
      <c r="J156" s="154"/>
      <c r="K156" s="154"/>
      <c r="L156" s="154"/>
      <c r="M156" s="74"/>
      <c r="N156" s="154"/>
      <c r="O156" s="154"/>
      <c r="P156" s="154"/>
      <c r="Q156" s="74"/>
    </row>
    <row r="157" spans="1:17" ht="87">
      <c r="A157" s="3">
        <v>150</v>
      </c>
      <c r="B157" s="265"/>
      <c r="C157" s="267" t="s">
        <v>584</v>
      </c>
      <c r="D157" s="274" t="s">
        <v>47</v>
      </c>
      <c r="E157" s="265"/>
      <c r="F157" s="201"/>
      <c r="G157" s="2"/>
      <c r="H157" s="2"/>
      <c r="I157" s="75"/>
      <c r="J157" s="200"/>
      <c r="K157" s="200"/>
      <c r="L157" s="200"/>
      <c r="M157" s="75"/>
      <c r="N157" s="200"/>
      <c r="O157" s="200"/>
      <c r="P157" s="200"/>
      <c r="Q157" s="75"/>
    </row>
    <row r="158" spans="1:17" ht="87">
      <c r="A158" s="161">
        <v>151</v>
      </c>
      <c r="B158" s="265"/>
      <c r="C158" s="267" t="s">
        <v>266</v>
      </c>
      <c r="D158" s="277" t="s">
        <v>47</v>
      </c>
      <c r="E158" s="256"/>
      <c r="F158" s="201"/>
      <c r="G158" s="3"/>
      <c r="H158" s="3"/>
      <c r="I158" s="74"/>
      <c r="J158" s="154"/>
      <c r="K158" s="154"/>
      <c r="L158" s="154"/>
      <c r="M158" s="74"/>
      <c r="N158" s="154"/>
      <c r="O158" s="154"/>
      <c r="P158" s="154"/>
      <c r="Q158" s="74"/>
    </row>
    <row r="159" spans="1:17" ht="87">
      <c r="A159" s="3">
        <v>152</v>
      </c>
      <c r="B159" s="54">
        <v>2.2</v>
      </c>
      <c r="C159" s="167" t="s">
        <v>465</v>
      </c>
      <c r="D159" s="54" t="s">
        <v>5</v>
      </c>
      <c r="E159" s="54" t="s">
        <v>261</v>
      </c>
      <c r="F159" s="2">
        <f>SUM(F161:F163)</f>
        <v>0</v>
      </c>
      <c r="G159" s="2">
        <f aca="true" t="shared" si="11" ref="G159:Q159">SUM(G161:G163)</f>
        <v>0</v>
      </c>
      <c r="H159" s="2">
        <f t="shared" si="11"/>
        <v>0</v>
      </c>
      <c r="I159" s="75">
        <f t="shared" si="11"/>
        <v>0</v>
      </c>
      <c r="J159" s="2">
        <f t="shared" si="11"/>
        <v>0</v>
      </c>
      <c r="K159" s="2">
        <f t="shared" si="11"/>
        <v>0</v>
      </c>
      <c r="L159" s="2">
        <f t="shared" si="11"/>
        <v>0</v>
      </c>
      <c r="M159" s="75">
        <f t="shared" si="11"/>
        <v>0</v>
      </c>
      <c r="N159" s="2">
        <f t="shared" si="11"/>
        <v>0</v>
      </c>
      <c r="O159" s="2">
        <f t="shared" si="11"/>
        <v>0</v>
      </c>
      <c r="P159" s="2">
        <f t="shared" si="11"/>
        <v>0</v>
      </c>
      <c r="Q159" s="75">
        <f t="shared" si="11"/>
        <v>0</v>
      </c>
    </row>
    <row r="160" spans="1:17" ht="43.5">
      <c r="A160" s="161">
        <v>153</v>
      </c>
      <c r="B160" s="157"/>
      <c r="C160" s="167" t="s">
        <v>466</v>
      </c>
      <c r="D160" s="157"/>
      <c r="E160" s="157"/>
      <c r="F160" s="2"/>
      <c r="G160" s="2"/>
      <c r="H160" s="2"/>
      <c r="I160" s="75"/>
      <c r="J160" s="2"/>
      <c r="K160" s="2"/>
      <c r="L160" s="2"/>
      <c r="M160" s="75"/>
      <c r="N160" s="2"/>
      <c r="O160" s="2"/>
      <c r="P160" s="2"/>
      <c r="Q160" s="75"/>
    </row>
    <row r="161" spans="1:17" ht="43.5">
      <c r="A161" s="3">
        <v>154</v>
      </c>
      <c r="B161" s="157"/>
      <c r="C161" s="222" t="s">
        <v>467</v>
      </c>
      <c r="D161" s="157"/>
      <c r="E161" s="157"/>
      <c r="F161" s="158"/>
      <c r="G161" s="158"/>
      <c r="H161" s="158"/>
      <c r="I161" s="181"/>
      <c r="J161" s="158"/>
      <c r="K161" s="158"/>
      <c r="L161" s="158"/>
      <c r="M161" s="181"/>
      <c r="N161" s="158"/>
      <c r="O161" s="158"/>
      <c r="P161" s="158"/>
      <c r="Q161" s="181"/>
    </row>
    <row r="162" spans="1:17" ht="43.5">
      <c r="A162" s="161">
        <v>155</v>
      </c>
      <c r="B162" s="157"/>
      <c r="C162" s="165" t="s">
        <v>468</v>
      </c>
      <c r="D162" s="157"/>
      <c r="E162" s="157"/>
      <c r="F162" s="3"/>
      <c r="G162" s="3"/>
      <c r="H162" s="3"/>
      <c r="I162" s="74"/>
      <c r="J162" s="3"/>
      <c r="K162" s="3"/>
      <c r="L162" s="3"/>
      <c r="M162" s="74"/>
      <c r="N162" s="3"/>
      <c r="O162" s="3"/>
      <c r="P162" s="3"/>
      <c r="Q162" s="74"/>
    </row>
    <row r="163" spans="1:17" ht="43.5">
      <c r="A163" s="3">
        <v>156</v>
      </c>
      <c r="B163" s="158"/>
      <c r="C163" s="165" t="s">
        <v>469</v>
      </c>
      <c r="D163" s="158"/>
      <c r="E163" s="158"/>
      <c r="F163" s="3"/>
      <c r="G163" s="3"/>
      <c r="H163" s="3"/>
      <c r="I163" s="74"/>
      <c r="J163" s="3"/>
      <c r="K163" s="3"/>
      <c r="L163" s="3"/>
      <c r="M163" s="74"/>
      <c r="N163" s="3"/>
      <c r="O163" s="3"/>
      <c r="P163" s="3"/>
      <c r="Q163" s="74"/>
    </row>
    <row r="164" spans="1:17" ht="108.75">
      <c r="A164" s="169">
        <v>157</v>
      </c>
      <c r="B164" s="158"/>
      <c r="C164" s="222" t="s">
        <v>391</v>
      </c>
      <c r="D164" s="158" t="s">
        <v>19</v>
      </c>
      <c r="E164" s="158" t="s">
        <v>261</v>
      </c>
      <c r="F164" s="158"/>
      <c r="G164" s="158"/>
      <c r="H164" s="158"/>
      <c r="I164" s="181"/>
      <c r="J164" s="158"/>
      <c r="K164" s="158"/>
      <c r="L164" s="158"/>
      <c r="M164" s="181"/>
      <c r="N164" s="158"/>
      <c r="O164" s="158"/>
      <c r="P164" s="158"/>
      <c r="Q164" s="181"/>
    </row>
    <row r="165" spans="1:17" ht="43.5" customHeight="1">
      <c r="A165" s="3">
        <v>158</v>
      </c>
      <c r="B165" s="331" t="s">
        <v>268</v>
      </c>
      <c r="C165" s="166" t="s">
        <v>470</v>
      </c>
      <c r="D165" s="157" t="s">
        <v>5</v>
      </c>
      <c r="E165" s="54" t="s">
        <v>261</v>
      </c>
      <c r="F165" s="2">
        <f aca="true" t="shared" si="12" ref="F165:Q165">SUM(F166:F168)</f>
        <v>0</v>
      </c>
      <c r="G165" s="2">
        <f t="shared" si="12"/>
        <v>0</v>
      </c>
      <c r="H165" s="2">
        <f t="shared" si="12"/>
        <v>0</v>
      </c>
      <c r="I165" s="75">
        <f t="shared" si="12"/>
        <v>0</v>
      </c>
      <c r="J165" s="2">
        <f t="shared" si="12"/>
        <v>0</v>
      </c>
      <c r="K165" s="2">
        <f t="shared" si="12"/>
        <v>0</v>
      </c>
      <c r="L165" s="2">
        <f t="shared" si="12"/>
        <v>0</v>
      </c>
      <c r="M165" s="75">
        <f t="shared" si="12"/>
        <v>0</v>
      </c>
      <c r="N165" s="2">
        <f t="shared" si="12"/>
        <v>0</v>
      </c>
      <c r="O165" s="2">
        <f t="shared" si="12"/>
        <v>0</v>
      </c>
      <c r="P165" s="2">
        <f t="shared" si="12"/>
        <v>0</v>
      </c>
      <c r="Q165" s="75">
        <f t="shared" si="12"/>
        <v>0</v>
      </c>
    </row>
    <row r="166" spans="1:17" ht="65.25">
      <c r="A166" s="161">
        <v>159</v>
      </c>
      <c r="B166" s="332"/>
      <c r="C166" s="173" t="s">
        <v>471</v>
      </c>
      <c r="D166" s="157"/>
      <c r="E166" s="157"/>
      <c r="F166" s="3"/>
      <c r="G166" s="3"/>
      <c r="H166" s="3"/>
      <c r="I166" s="74"/>
      <c r="J166" s="3"/>
      <c r="K166" s="3"/>
      <c r="L166" s="3"/>
      <c r="M166" s="74"/>
      <c r="N166" s="3"/>
      <c r="O166" s="3"/>
      <c r="P166" s="3"/>
      <c r="Q166" s="74"/>
    </row>
    <row r="167" spans="1:17" ht="65.25">
      <c r="A167" s="3">
        <v>160</v>
      </c>
      <c r="B167" s="157"/>
      <c r="C167" s="173" t="s">
        <v>472</v>
      </c>
      <c r="D167" s="157"/>
      <c r="E167" s="157"/>
      <c r="F167" s="3"/>
      <c r="G167" s="3"/>
      <c r="H167" s="3"/>
      <c r="I167" s="74"/>
      <c r="J167" s="3"/>
      <c r="K167" s="3"/>
      <c r="L167" s="3"/>
      <c r="M167" s="74"/>
      <c r="N167" s="3"/>
      <c r="O167" s="3"/>
      <c r="P167" s="3"/>
      <c r="Q167" s="74"/>
    </row>
    <row r="168" spans="1:17" ht="65.25">
      <c r="A168" s="161">
        <v>161</v>
      </c>
      <c r="B168" s="157"/>
      <c r="C168" s="173" t="s">
        <v>473</v>
      </c>
      <c r="D168" s="157"/>
      <c r="E168" s="157"/>
      <c r="F168" s="3"/>
      <c r="G168" s="3"/>
      <c r="H168" s="3"/>
      <c r="I168" s="74"/>
      <c r="J168" s="3"/>
      <c r="K168" s="3"/>
      <c r="L168" s="3"/>
      <c r="M168" s="74"/>
      <c r="N168" s="3"/>
      <c r="O168" s="3"/>
      <c r="P168" s="3"/>
      <c r="Q168" s="74"/>
    </row>
    <row r="169" spans="1:17" ht="43.5">
      <c r="A169" s="3">
        <v>162</v>
      </c>
      <c r="B169" s="157"/>
      <c r="C169" s="167" t="s">
        <v>476</v>
      </c>
      <c r="D169" s="54" t="s">
        <v>5</v>
      </c>
      <c r="E169" s="54" t="s">
        <v>261</v>
      </c>
      <c r="F169" s="2">
        <f aca="true" t="shared" si="13" ref="F169:Q169">SUM(F170:F172)</f>
        <v>0</v>
      </c>
      <c r="G169" s="2">
        <f t="shared" si="13"/>
        <v>0</v>
      </c>
      <c r="H169" s="2">
        <f t="shared" si="13"/>
        <v>0</v>
      </c>
      <c r="I169" s="75">
        <f t="shared" si="13"/>
        <v>0</v>
      </c>
      <c r="J169" s="2">
        <f t="shared" si="13"/>
        <v>0</v>
      </c>
      <c r="K169" s="2">
        <f t="shared" si="13"/>
        <v>0</v>
      </c>
      <c r="L169" s="2">
        <f t="shared" si="13"/>
        <v>0</v>
      </c>
      <c r="M169" s="75">
        <f t="shared" si="13"/>
        <v>0</v>
      </c>
      <c r="N169" s="2">
        <f t="shared" si="13"/>
        <v>0</v>
      </c>
      <c r="O169" s="2">
        <f t="shared" si="13"/>
        <v>0</v>
      </c>
      <c r="P169" s="2">
        <f t="shared" si="13"/>
        <v>0</v>
      </c>
      <c r="Q169" s="75">
        <f t="shared" si="13"/>
        <v>0</v>
      </c>
    </row>
    <row r="170" spans="1:17" ht="65.25">
      <c r="A170" s="161">
        <v>163</v>
      </c>
      <c r="B170" s="157"/>
      <c r="C170" s="175" t="s">
        <v>474</v>
      </c>
      <c r="D170" s="157"/>
      <c r="E170" s="157"/>
      <c r="F170" s="3"/>
      <c r="G170" s="3"/>
      <c r="H170" s="3"/>
      <c r="I170" s="74"/>
      <c r="J170" s="3"/>
      <c r="K170" s="3"/>
      <c r="L170" s="3"/>
      <c r="M170" s="74"/>
      <c r="N170" s="3"/>
      <c r="O170" s="3"/>
      <c r="P170" s="3"/>
      <c r="Q170" s="74"/>
    </row>
    <row r="171" spans="1:17" ht="65.25">
      <c r="A171" s="3">
        <v>164</v>
      </c>
      <c r="B171" s="157"/>
      <c r="C171" s="175" t="s">
        <v>475</v>
      </c>
      <c r="D171" s="157"/>
      <c r="E171" s="157"/>
      <c r="F171" s="3"/>
      <c r="G171" s="3"/>
      <c r="H171" s="3"/>
      <c r="I171" s="74"/>
      <c r="J171" s="3"/>
      <c r="K171" s="3"/>
      <c r="L171" s="3"/>
      <c r="M171" s="74"/>
      <c r="N171" s="3"/>
      <c r="O171" s="3"/>
      <c r="P171" s="3"/>
      <c r="Q171" s="74"/>
    </row>
    <row r="172" spans="1:17" ht="65.25">
      <c r="A172" s="161">
        <v>165</v>
      </c>
      <c r="B172" s="157"/>
      <c r="C172" s="175" t="s">
        <v>477</v>
      </c>
      <c r="D172" s="157"/>
      <c r="E172" s="157"/>
      <c r="F172" s="3"/>
      <c r="G172" s="3"/>
      <c r="H172" s="3"/>
      <c r="I172" s="74"/>
      <c r="J172" s="3"/>
      <c r="K172" s="3"/>
      <c r="L172" s="3"/>
      <c r="M172" s="74"/>
      <c r="N172" s="3"/>
      <c r="O172" s="3"/>
      <c r="P172" s="3"/>
      <c r="Q172" s="74"/>
    </row>
    <row r="173" spans="1:17" ht="43.5">
      <c r="A173" s="3">
        <v>166</v>
      </c>
      <c r="B173" s="54"/>
      <c r="C173" s="167" t="s">
        <v>478</v>
      </c>
      <c r="D173" s="54" t="s">
        <v>5</v>
      </c>
      <c r="E173" s="54" t="s">
        <v>261</v>
      </c>
      <c r="F173" s="2">
        <f>SUM(F174:F176)</f>
        <v>0</v>
      </c>
      <c r="G173" s="2">
        <f aca="true" t="shared" si="14" ref="G173:Q173">SUM(G174:G176)</f>
        <v>0</v>
      </c>
      <c r="H173" s="2">
        <f t="shared" si="14"/>
        <v>0</v>
      </c>
      <c r="I173" s="75">
        <f t="shared" si="14"/>
        <v>0</v>
      </c>
      <c r="J173" s="2">
        <f t="shared" si="14"/>
        <v>0</v>
      </c>
      <c r="K173" s="2">
        <f t="shared" si="14"/>
        <v>0</v>
      </c>
      <c r="L173" s="2">
        <f t="shared" si="14"/>
        <v>0</v>
      </c>
      <c r="M173" s="75">
        <f t="shared" si="14"/>
        <v>0</v>
      </c>
      <c r="N173" s="2">
        <f t="shared" si="14"/>
        <v>0</v>
      </c>
      <c r="O173" s="2">
        <f t="shared" si="14"/>
        <v>0</v>
      </c>
      <c r="P173" s="2">
        <f t="shared" si="14"/>
        <v>0</v>
      </c>
      <c r="Q173" s="75">
        <f t="shared" si="14"/>
        <v>0</v>
      </c>
    </row>
    <row r="174" spans="1:17" ht="65.25">
      <c r="A174" s="161">
        <v>167</v>
      </c>
      <c r="B174" s="157"/>
      <c r="C174" s="203" t="s">
        <v>479</v>
      </c>
      <c r="D174" s="157"/>
      <c r="E174" s="157"/>
      <c r="F174" s="158"/>
      <c r="G174" s="158"/>
      <c r="H174" s="158"/>
      <c r="I174" s="181"/>
      <c r="J174" s="158"/>
      <c r="K174" s="158"/>
      <c r="L174" s="158"/>
      <c r="M174" s="181"/>
      <c r="N174" s="158"/>
      <c r="O174" s="158"/>
      <c r="P174" s="158"/>
      <c r="Q174" s="181"/>
    </row>
    <row r="175" spans="1:17" ht="65.25">
      <c r="A175" s="3">
        <v>168</v>
      </c>
      <c r="B175" s="157"/>
      <c r="C175" s="175" t="s">
        <v>480</v>
      </c>
      <c r="D175" s="157"/>
      <c r="E175" s="157"/>
      <c r="F175" s="3"/>
      <c r="G175" s="3"/>
      <c r="H175" s="3"/>
      <c r="I175" s="74"/>
      <c r="J175" s="3"/>
      <c r="K175" s="3"/>
      <c r="L175" s="3"/>
      <c r="M175" s="74"/>
      <c r="N175" s="3"/>
      <c r="O175" s="3"/>
      <c r="P175" s="3"/>
      <c r="Q175" s="74"/>
    </row>
    <row r="176" spans="1:17" ht="65.25">
      <c r="A176" s="161">
        <v>169</v>
      </c>
      <c r="B176" s="158"/>
      <c r="C176" s="175" t="s">
        <v>481</v>
      </c>
      <c r="D176" s="158"/>
      <c r="E176" s="158"/>
      <c r="F176" s="3"/>
      <c r="G176" s="3"/>
      <c r="H176" s="3"/>
      <c r="I176" s="74"/>
      <c r="J176" s="3"/>
      <c r="K176" s="3"/>
      <c r="L176" s="3"/>
      <c r="M176" s="74"/>
      <c r="N176" s="3"/>
      <c r="O176" s="3"/>
      <c r="P176" s="3"/>
      <c r="Q176" s="74"/>
    </row>
    <row r="177" spans="1:17" ht="27" customHeight="1">
      <c r="A177" s="3">
        <v>170</v>
      </c>
      <c r="B177" s="3"/>
      <c r="C177" s="167" t="s">
        <v>482</v>
      </c>
      <c r="D177" s="3" t="s">
        <v>5</v>
      </c>
      <c r="E177" s="3" t="s">
        <v>261</v>
      </c>
      <c r="F177" s="2">
        <f aca="true" t="shared" si="15" ref="F177:Q177">SUM(F178:F180)</f>
        <v>0</v>
      </c>
      <c r="G177" s="2">
        <f t="shared" si="15"/>
        <v>0</v>
      </c>
      <c r="H177" s="2">
        <f t="shared" si="15"/>
        <v>0</v>
      </c>
      <c r="I177" s="75">
        <f t="shared" si="15"/>
        <v>0</v>
      </c>
      <c r="J177" s="2">
        <f t="shared" si="15"/>
        <v>0</v>
      </c>
      <c r="K177" s="2">
        <f t="shared" si="15"/>
        <v>0</v>
      </c>
      <c r="L177" s="2">
        <f t="shared" si="15"/>
        <v>0</v>
      </c>
      <c r="M177" s="75">
        <f t="shared" si="15"/>
        <v>0</v>
      </c>
      <c r="N177" s="2">
        <f t="shared" si="15"/>
        <v>0</v>
      </c>
      <c r="O177" s="2">
        <f t="shared" si="15"/>
        <v>0</v>
      </c>
      <c r="P177" s="2">
        <f t="shared" si="15"/>
        <v>0</v>
      </c>
      <c r="Q177" s="75">
        <f t="shared" si="15"/>
        <v>0</v>
      </c>
    </row>
    <row r="178" spans="1:17" ht="43.5">
      <c r="A178" s="169">
        <v>171</v>
      </c>
      <c r="B178" s="157"/>
      <c r="C178" s="203" t="s">
        <v>484</v>
      </c>
      <c r="D178" s="158"/>
      <c r="E178" s="158"/>
      <c r="F178" s="158"/>
      <c r="G178" s="158"/>
      <c r="H178" s="158"/>
      <c r="I178" s="181"/>
      <c r="J178" s="158"/>
      <c r="K178" s="158"/>
      <c r="L178" s="158"/>
      <c r="M178" s="181"/>
      <c r="N178" s="158"/>
      <c r="O178" s="158"/>
      <c r="P178" s="158"/>
      <c r="Q178" s="181"/>
    </row>
    <row r="179" spans="1:17" ht="43.5">
      <c r="A179" s="3">
        <v>172</v>
      </c>
      <c r="B179" s="157"/>
      <c r="C179" s="203" t="s">
        <v>483</v>
      </c>
      <c r="D179" s="157"/>
      <c r="E179" s="157"/>
      <c r="F179" s="158"/>
      <c r="G179" s="158"/>
      <c r="H179" s="158"/>
      <c r="I179" s="181"/>
      <c r="J179" s="158"/>
      <c r="K179" s="158"/>
      <c r="L179" s="158"/>
      <c r="M179" s="181"/>
      <c r="N179" s="158"/>
      <c r="O179" s="158"/>
      <c r="P179" s="158"/>
      <c r="Q179" s="181"/>
    </row>
    <row r="180" spans="1:17" ht="43.5">
      <c r="A180" s="161">
        <v>173</v>
      </c>
      <c r="B180" s="157"/>
      <c r="C180" s="203" t="s">
        <v>485</v>
      </c>
      <c r="D180" s="158"/>
      <c r="E180" s="157"/>
      <c r="F180" s="158"/>
      <c r="G180" s="158"/>
      <c r="H180" s="158"/>
      <c r="I180" s="181"/>
      <c r="J180" s="158"/>
      <c r="K180" s="158"/>
      <c r="L180" s="158"/>
      <c r="M180" s="181"/>
      <c r="N180" s="158"/>
      <c r="O180" s="158"/>
      <c r="P180" s="158"/>
      <c r="Q180" s="181"/>
    </row>
    <row r="181" spans="1:17" ht="105">
      <c r="A181" s="3">
        <v>174</v>
      </c>
      <c r="B181" s="157"/>
      <c r="C181" s="166" t="s">
        <v>392</v>
      </c>
      <c r="D181" s="204" t="s">
        <v>19</v>
      </c>
      <c r="E181" s="3" t="s">
        <v>261</v>
      </c>
      <c r="F181" s="2"/>
      <c r="G181" s="2"/>
      <c r="H181" s="2"/>
      <c r="I181" s="75"/>
      <c r="J181" s="2"/>
      <c r="K181" s="2"/>
      <c r="L181" s="2"/>
      <c r="M181" s="75"/>
      <c r="N181" s="2"/>
      <c r="O181" s="2"/>
      <c r="P181" s="2"/>
      <c r="Q181" s="75"/>
    </row>
    <row r="182" spans="1:17" ht="105">
      <c r="A182" s="161">
        <v>175</v>
      </c>
      <c r="B182" s="157"/>
      <c r="C182" s="166" t="s">
        <v>393</v>
      </c>
      <c r="D182" s="180" t="s">
        <v>19</v>
      </c>
      <c r="E182" s="3" t="s">
        <v>261</v>
      </c>
      <c r="F182" s="2"/>
      <c r="G182" s="2"/>
      <c r="H182" s="2"/>
      <c r="I182" s="75"/>
      <c r="J182" s="2"/>
      <c r="K182" s="2"/>
      <c r="L182" s="2"/>
      <c r="M182" s="75"/>
      <c r="N182" s="2"/>
      <c r="O182" s="2"/>
      <c r="P182" s="2"/>
      <c r="Q182" s="75"/>
    </row>
    <row r="183" spans="1:17" ht="43.5">
      <c r="A183" s="3">
        <v>176</v>
      </c>
      <c r="B183" s="54"/>
      <c r="C183" s="167" t="s">
        <v>486</v>
      </c>
      <c r="D183" s="54" t="s">
        <v>5</v>
      </c>
      <c r="E183" s="54" t="s">
        <v>261</v>
      </c>
      <c r="F183" s="2"/>
      <c r="G183" s="2"/>
      <c r="H183" s="2"/>
      <c r="I183" s="75"/>
      <c r="J183" s="2"/>
      <c r="K183" s="2"/>
      <c r="L183" s="2"/>
      <c r="M183" s="75"/>
      <c r="N183" s="2"/>
      <c r="O183" s="2"/>
      <c r="P183" s="2"/>
      <c r="Q183" s="75"/>
    </row>
    <row r="184" spans="1:17" ht="43.5">
      <c r="A184" s="161">
        <v>177</v>
      </c>
      <c r="B184" s="157"/>
      <c r="C184" s="165" t="s">
        <v>487</v>
      </c>
      <c r="D184" s="157"/>
      <c r="E184" s="157"/>
      <c r="F184" s="3"/>
      <c r="G184" s="3"/>
      <c r="H184" s="3"/>
      <c r="I184" s="74"/>
      <c r="J184" s="3"/>
      <c r="K184" s="3"/>
      <c r="L184" s="3"/>
      <c r="M184" s="74"/>
      <c r="N184" s="3"/>
      <c r="O184" s="3"/>
      <c r="P184" s="3"/>
      <c r="Q184" s="74"/>
    </row>
    <row r="185" spans="1:17" ht="65.25">
      <c r="A185" s="3">
        <v>178</v>
      </c>
      <c r="B185" s="157"/>
      <c r="C185" s="165" t="s">
        <v>488</v>
      </c>
      <c r="D185" s="157"/>
      <c r="E185" s="157"/>
      <c r="F185" s="3"/>
      <c r="G185" s="3"/>
      <c r="H185" s="3"/>
      <c r="I185" s="74"/>
      <c r="J185" s="3"/>
      <c r="K185" s="3"/>
      <c r="L185" s="3"/>
      <c r="M185" s="74"/>
      <c r="N185" s="3"/>
      <c r="O185" s="3"/>
      <c r="P185" s="3"/>
      <c r="Q185" s="74"/>
    </row>
    <row r="186" spans="1:17" ht="65.25">
      <c r="A186" s="161">
        <v>179</v>
      </c>
      <c r="B186" s="157"/>
      <c r="C186" s="165" t="s">
        <v>489</v>
      </c>
      <c r="D186" s="157"/>
      <c r="E186" s="157"/>
      <c r="F186" s="3"/>
      <c r="G186" s="3"/>
      <c r="H186" s="3"/>
      <c r="I186" s="74"/>
      <c r="J186" s="3"/>
      <c r="K186" s="3"/>
      <c r="L186" s="3"/>
      <c r="M186" s="74"/>
      <c r="N186" s="3"/>
      <c r="O186" s="3"/>
      <c r="P186" s="3"/>
      <c r="Q186" s="74"/>
    </row>
    <row r="187" spans="1:17" ht="65.25">
      <c r="A187" s="3">
        <v>180</v>
      </c>
      <c r="B187" s="157"/>
      <c r="C187" s="165" t="s">
        <v>490</v>
      </c>
      <c r="D187" s="157"/>
      <c r="E187" s="157"/>
      <c r="F187" s="3"/>
      <c r="G187" s="3"/>
      <c r="H187" s="3"/>
      <c r="I187" s="74"/>
      <c r="J187" s="3"/>
      <c r="K187" s="3"/>
      <c r="L187" s="3"/>
      <c r="M187" s="74"/>
      <c r="N187" s="3"/>
      <c r="O187" s="3"/>
      <c r="P187" s="3"/>
      <c r="Q187" s="74"/>
    </row>
    <row r="188" spans="1:17" ht="43.5">
      <c r="A188" s="161">
        <v>181</v>
      </c>
      <c r="B188" s="157"/>
      <c r="C188" s="222" t="s">
        <v>491</v>
      </c>
      <c r="D188" s="157"/>
      <c r="E188" s="157"/>
      <c r="F188" s="204"/>
      <c r="G188" s="204"/>
      <c r="H188" s="204"/>
      <c r="I188" s="212"/>
      <c r="J188" s="204"/>
      <c r="K188" s="204"/>
      <c r="L188" s="204"/>
      <c r="M188" s="212"/>
      <c r="N188" s="204"/>
      <c r="O188" s="204"/>
      <c r="P188" s="204"/>
      <c r="Q188" s="212"/>
    </row>
    <row r="189" spans="1:17" ht="65.25">
      <c r="A189" s="3">
        <v>182</v>
      </c>
      <c r="B189" s="157"/>
      <c r="C189" s="165" t="s">
        <v>492</v>
      </c>
      <c r="D189" s="157"/>
      <c r="E189" s="157"/>
      <c r="F189" s="2"/>
      <c r="G189" s="2"/>
      <c r="H189" s="2"/>
      <c r="I189" s="75"/>
      <c r="J189" s="2"/>
      <c r="K189" s="2"/>
      <c r="L189" s="2"/>
      <c r="M189" s="75"/>
      <c r="N189" s="2"/>
      <c r="O189" s="2"/>
      <c r="P189" s="2"/>
      <c r="Q189" s="75"/>
    </row>
    <row r="190" spans="1:17" ht="43.5">
      <c r="A190" s="161">
        <v>183</v>
      </c>
      <c r="B190" s="157"/>
      <c r="C190" s="165" t="s">
        <v>493</v>
      </c>
      <c r="D190" s="157"/>
      <c r="E190" s="157"/>
      <c r="F190" s="2"/>
      <c r="G190" s="2"/>
      <c r="H190" s="2"/>
      <c r="I190" s="75"/>
      <c r="J190" s="2"/>
      <c r="K190" s="2"/>
      <c r="L190" s="2"/>
      <c r="M190" s="75"/>
      <c r="N190" s="2"/>
      <c r="O190" s="2"/>
      <c r="P190" s="2"/>
      <c r="Q190" s="75"/>
    </row>
    <row r="191" spans="1:17" ht="43.5">
      <c r="A191" s="3">
        <v>184</v>
      </c>
      <c r="B191" s="158"/>
      <c r="C191" s="165" t="s">
        <v>494</v>
      </c>
      <c r="D191" s="158"/>
      <c r="E191" s="158"/>
      <c r="F191" s="2"/>
      <c r="G191" s="2"/>
      <c r="H191" s="2"/>
      <c r="I191" s="75"/>
      <c r="J191" s="2"/>
      <c r="K191" s="2"/>
      <c r="L191" s="2"/>
      <c r="M191" s="75"/>
      <c r="N191" s="2"/>
      <c r="O191" s="2"/>
      <c r="P191" s="2"/>
      <c r="Q191" s="75"/>
    </row>
    <row r="192" spans="1:17" ht="43.5">
      <c r="A192" s="161">
        <v>185</v>
      </c>
      <c r="B192" s="254" t="s">
        <v>381</v>
      </c>
      <c r="C192" s="270" t="s">
        <v>559</v>
      </c>
      <c r="D192" s="254" t="s">
        <v>47</v>
      </c>
      <c r="E192" s="254" t="s">
        <v>261</v>
      </c>
      <c r="F192" s="2"/>
      <c r="G192" s="2"/>
      <c r="H192" s="2"/>
      <c r="I192" s="75"/>
      <c r="J192" s="2"/>
      <c r="K192" s="2"/>
      <c r="L192" s="2"/>
      <c r="M192" s="75"/>
      <c r="N192" s="2"/>
      <c r="O192" s="2"/>
      <c r="P192" s="2"/>
      <c r="Q192" s="75"/>
    </row>
    <row r="193" spans="1:17" ht="46.5" customHeight="1">
      <c r="A193" s="161">
        <v>186</v>
      </c>
      <c r="B193" s="297" t="s">
        <v>270</v>
      </c>
      <c r="C193" s="269" t="s">
        <v>560</v>
      </c>
      <c r="D193" s="297" t="s">
        <v>269</v>
      </c>
      <c r="E193" s="297" t="s">
        <v>261</v>
      </c>
      <c r="F193" s="2">
        <f>SUM(F194:F199)</f>
        <v>0</v>
      </c>
      <c r="G193" s="2">
        <f aca="true" t="shared" si="16" ref="G193:Q193">SUM(G194:G199)</f>
        <v>0</v>
      </c>
      <c r="H193" s="2">
        <f t="shared" si="16"/>
        <v>0</v>
      </c>
      <c r="I193" s="75">
        <f t="shared" si="16"/>
        <v>0</v>
      </c>
      <c r="J193" s="2">
        <f t="shared" si="16"/>
        <v>0</v>
      </c>
      <c r="K193" s="2">
        <f t="shared" si="16"/>
        <v>0</v>
      </c>
      <c r="L193" s="2">
        <f t="shared" si="16"/>
        <v>0</v>
      </c>
      <c r="M193" s="75">
        <f t="shared" si="16"/>
        <v>0</v>
      </c>
      <c r="N193" s="2">
        <f t="shared" si="16"/>
        <v>0</v>
      </c>
      <c r="O193" s="2">
        <f t="shared" si="16"/>
        <v>0</v>
      </c>
      <c r="P193" s="2">
        <f t="shared" si="16"/>
        <v>0</v>
      </c>
      <c r="Q193" s="75">
        <f t="shared" si="16"/>
        <v>0</v>
      </c>
    </row>
    <row r="194" spans="1:17" ht="21.75">
      <c r="A194" s="161">
        <v>187</v>
      </c>
      <c r="B194" s="298"/>
      <c r="C194" s="273" t="s">
        <v>152</v>
      </c>
      <c r="D194" s="298"/>
      <c r="E194" s="298"/>
      <c r="F194" s="199"/>
      <c r="G194" s="158"/>
      <c r="H194" s="158"/>
      <c r="I194" s="181"/>
      <c r="J194" s="199"/>
      <c r="K194" s="199"/>
      <c r="L194" s="199"/>
      <c r="M194" s="181"/>
      <c r="N194" s="199"/>
      <c r="O194" s="158"/>
      <c r="P194" s="158"/>
      <c r="Q194" s="181"/>
    </row>
    <row r="195" spans="1:17" ht="43.5">
      <c r="A195" s="161">
        <v>188</v>
      </c>
      <c r="B195" s="298"/>
      <c r="C195" s="267" t="s">
        <v>151</v>
      </c>
      <c r="D195" s="298"/>
      <c r="E195" s="298"/>
      <c r="F195" s="154"/>
      <c r="G195" s="3"/>
      <c r="H195" s="3"/>
      <c r="I195" s="74"/>
      <c r="J195" s="154"/>
      <c r="K195" s="154"/>
      <c r="L195" s="154"/>
      <c r="M195" s="74"/>
      <c r="N195" s="154"/>
      <c r="O195" s="3"/>
      <c r="P195" s="3"/>
      <c r="Q195" s="74"/>
    </row>
    <row r="196" spans="1:17" ht="43.5">
      <c r="A196" s="161">
        <v>189</v>
      </c>
      <c r="B196" s="298"/>
      <c r="C196" s="267" t="s">
        <v>377</v>
      </c>
      <c r="D196" s="298"/>
      <c r="E196" s="298"/>
      <c r="F196" s="154"/>
      <c r="G196" s="3"/>
      <c r="H196" s="3"/>
      <c r="I196" s="74"/>
      <c r="J196" s="154"/>
      <c r="K196" s="154"/>
      <c r="L196" s="154"/>
      <c r="M196" s="74"/>
      <c r="N196" s="154"/>
      <c r="O196" s="3"/>
      <c r="P196" s="3"/>
      <c r="Q196" s="74"/>
    </row>
    <row r="197" spans="1:17" ht="43.5">
      <c r="A197" s="161">
        <v>190</v>
      </c>
      <c r="B197" s="298"/>
      <c r="C197" s="267" t="s">
        <v>378</v>
      </c>
      <c r="D197" s="298"/>
      <c r="E197" s="298"/>
      <c r="F197" s="154"/>
      <c r="G197" s="3"/>
      <c r="H197" s="3"/>
      <c r="I197" s="74"/>
      <c r="J197" s="154"/>
      <c r="K197" s="154"/>
      <c r="L197" s="154"/>
      <c r="M197" s="74"/>
      <c r="N197" s="154"/>
      <c r="O197" s="3"/>
      <c r="P197" s="3"/>
      <c r="Q197" s="74"/>
    </row>
    <row r="198" spans="1:17" ht="87">
      <c r="A198" s="161">
        <v>191</v>
      </c>
      <c r="B198" s="298"/>
      <c r="C198" s="267" t="s">
        <v>277</v>
      </c>
      <c r="D198" s="298"/>
      <c r="E198" s="298"/>
      <c r="F198" s="154"/>
      <c r="G198" s="3"/>
      <c r="H198" s="3"/>
      <c r="I198" s="74"/>
      <c r="J198" s="154"/>
      <c r="K198" s="154"/>
      <c r="L198" s="154"/>
      <c r="M198" s="74"/>
      <c r="N198" s="154"/>
      <c r="O198" s="3"/>
      <c r="P198" s="3"/>
      <c r="Q198" s="74"/>
    </row>
    <row r="199" spans="1:17" ht="43.5">
      <c r="A199" s="161">
        <v>192</v>
      </c>
      <c r="B199" s="299"/>
      <c r="C199" s="267" t="s">
        <v>278</v>
      </c>
      <c r="D199" s="299"/>
      <c r="E199" s="299"/>
      <c r="F199" s="154"/>
      <c r="G199" s="3"/>
      <c r="H199" s="3"/>
      <c r="I199" s="74"/>
      <c r="J199" s="154"/>
      <c r="K199" s="154"/>
      <c r="L199" s="154"/>
      <c r="M199" s="74"/>
      <c r="N199" s="154"/>
      <c r="O199" s="3"/>
      <c r="P199" s="3"/>
      <c r="Q199" s="74"/>
    </row>
    <row r="200" spans="1:17" ht="65.25">
      <c r="A200" s="161">
        <v>193</v>
      </c>
      <c r="B200" s="298" t="s">
        <v>270</v>
      </c>
      <c r="C200" s="269" t="s">
        <v>561</v>
      </c>
      <c r="D200" s="280" t="s">
        <v>269</v>
      </c>
      <c r="E200" s="280" t="s">
        <v>261</v>
      </c>
      <c r="F200" s="2">
        <f>SUM(F201:F205)</f>
        <v>0</v>
      </c>
      <c r="G200" s="2">
        <f aca="true" t="shared" si="17" ref="G200:Q200">SUM(G201:G205)</f>
        <v>0</v>
      </c>
      <c r="H200" s="2">
        <f t="shared" si="17"/>
        <v>0</v>
      </c>
      <c r="I200" s="75">
        <f t="shared" si="17"/>
        <v>0</v>
      </c>
      <c r="J200" s="2">
        <f t="shared" si="17"/>
        <v>0</v>
      </c>
      <c r="K200" s="2">
        <f t="shared" si="17"/>
        <v>0</v>
      </c>
      <c r="L200" s="2">
        <f t="shared" si="17"/>
        <v>0</v>
      </c>
      <c r="M200" s="75">
        <f t="shared" si="17"/>
        <v>0</v>
      </c>
      <c r="N200" s="2">
        <f t="shared" si="17"/>
        <v>0</v>
      </c>
      <c r="O200" s="2">
        <f t="shared" si="17"/>
        <v>0</v>
      </c>
      <c r="P200" s="2">
        <f t="shared" si="17"/>
        <v>0</v>
      </c>
      <c r="Q200" s="75">
        <f t="shared" si="17"/>
        <v>0</v>
      </c>
    </row>
    <row r="201" spans="1:17" ht="65.25">
      <c r="A201" s="3">
        <v>194</v>
      </c>
      <c r="B201" s="281"/>
      <c r="C201" s="267" t="s">
        <v>271</v>
      </c>
      <c r="D201" s="281"/>
      <c r="E201" s="281"/>
      <c r="F201" s="154"/>
      <c r="G201" s="3"/>
      <c r="H201" s="3"/>
      <c r="I201" s="74"/>
      <c r="J201" s="154"/>
      <c r="K201" s="3"/>
      <c r="L201" s="3"/>
      <c r="M201" s="74"/>
      <c r="N201" s="154"/>
      <c r="O201" s="3"/>
      <c r="P201" s="3"/>
      <c r="Q201" s="74"/>
    </row>
    <row r="202" spans="1:17" ht="65.25">
      <c r="A202" s="161">
        <v>195</v>
      </c>
      <c r="B202" s="281"/>
      <c r="C202" s="267" t="s">
        <v>272</v>
      </c>
      <c r="D202" s="281"/>
      <c r="E202" s="281"/>
      <c r="F202" s="154"/>
      <c r="G202" s="3"/>
      <c r="H202" s="3"/>
      <c r="I202" s="74"/>
      <c r="J202" s="154"/>
      <c r="K202" s="3"/>
      <c r="L202" s="3"/>
      <c r="M202" s="74"/>
      <c r="N202" s="154"/>
      <c r="O202" s="3"/>
      <c r="P202" s="3"/>
      <c r="Q202" s="74"/>
    </row>
    <row r="203" spans="1:17" ht="65.25">
      <c r="A203" s="3">
        <v>196</v>
      </c>
      <c r="B203" s="281"/>
      <c r="C203" s="267" t="s">
        <v>273</v>
      </c>
      <c r="D203" s="281"/>
      <c r="E203" s="281"/>
      <c r="F203" s="154"/>
      <c r="G203" s="3"/>
      <c r="H203" s="3"/>
      <c r="I203" s="74"/>
      <c r="J203" s="154"/>
      <c r="K203" s="3"/>
      <c r="L203" s="3"/>
      <c r="M203" s="74"/>
      <c r="N203" s="154"/>
      <c r="O203" s="3"/>
      <c r="P203" s="3"/>
      <c r="Q203" s="74"/>
    </row>
    <row r="204" spans="1:17" ht="65.25">
      <c r="A204" s="161">
        <v>197</v>
      </c>
      <c r="B204" s="281"/>
      <c r="C204" s="268" t="s">
        <v>274</v>
      </c>
      <c r="D204" s="281"/>
      <c r="E204" s="281"/>
      <c r="F204" s="199"/>
      <c r="G204" s="158"/>
      <c r="H204" s="158"/>
      <c r="I204" s="181"/>
      <c r="J204" s="199"/>
      <c r="K204" s="158"/>
      <c r="L204" s="158"/>
      <c r="M204" s="181"/>
      <c r="N204" s="199"/>
      <c r="O204" s="158"/>
      <c r="P204" s="158"/>
      <c r="Q204" s="181"/>
    </row>
    <row r="205" spans="1:17" ht="87">
      <c r="A205" s="3">
        <v>198</v>
      </c>
      <c r="B205" s="282"/>
      <c r="C205" s="267" t="s">
        <v>275</v>
      </c>
      <c r="D205" s="282"/>
      <c r="E205" s="282"/>
      <c r="F205" s="154"/>
      <c r="G205" s="3"/>
      <c r="H205" s="3"/>
      <c r="I205" s="74"/>
      <c r="J205" s="154"/>
      <c r="K205" s="3"/>
      <c r="L205" s="3"/>
      <c r="M205" s="74"/>
      <c r="N205" s="154"/>
      <c r="O205" s="3"/>
      <c r="P205" s="3"/>
      <c r="Q205" s="74"/>
    </row>
    <row r="206" spans="1:17" ht="65.25">
      <c r="A206" s="161">
        <v>199</v>
      </c>
      <c r="B206" s="281" t="s">
        <v>276</v>
      </c>
      <c r="C206" s="266" t="s">
        <v>562</v>
      </c>
      <c r="D206" s="257" t="s">
        <v>269</v>
      </c>
      <c r="E206" s="257" t="s">
        <v>261</v>
      </c>
      <c r="F206" s="2">
        <f>SUM(F207:F212)</f>
        <v>0</v>
      </c>
      <c r="G206" s="2">
        <f aca="true" t="shared" si="18" ref="G206:Q206">SUM(G207:G212)</f>
        <v>0</v>
      </c>
      <c r="H206" s="2">
        <f t="shared" si="18"/>
        <v>0</v>
      </c>
      <c r="I206" s="75">
        <f t="shared" si="18"/>
        <v>0</v>
      </c>
      <c r="J206" s="2">
        <f t="shared" si="18"/>
        <v>0</v>
      </c>
      <c r="K206" s="2">
        <f t="shared" si="18"/>
        <v>0</v>
      </c>
      <c r="L206" s="2">
        <f t="shared" si="18"/>
        <v>0</v>
      </c>
      <c r="M206" s="75">
        <f t="shared" si="18"/>
        <v>0</v>
      </c>
      <c r="N206" s="2">
        <f t="shared" si="18"/>
        <v>0</v>
      </c>
      <c r="O206" s="2">
        <f t="shared" si="18"/>
        <v>0</v>
      </c>
      <c r="P206" s="2">
        <f t="shared" si="18"/>
        <v>0</v>
      </c>
      <c r="Q206" s="75">
        <f t="shared" si="18"/>
        <v>0</v>
      </c>
    </row>
    <row r="207" spans="1:17" ht="21.75">
      <c r="A207" s="3">
        <v>200</v>
      </c>
      <c r="B207" s="265"/>
      <c r="C207" s="267" t="s">
        <v>150</v>
      </c>
      <c r="D207" s="265"/>
      <c r="E207" s="265"/>
      <c r="F207" s="154"/>
      <c r="G207" s="3"/>
      <c r="H207" s="3"/>
      <c r="I207" s="74"/>
      <c r="J207" s="154"/>
      <c r="K207" s="154"/>
      <c r="L207" s="154"/>
      <c r="M207" s="74"/>
      <c r="N207" s="154"/>
      <c r="O207" s="3"/>
      <c r="P207" s="3"/>
      <c r="Q207" s="74"/>
    </row>
    <row r="208" spans="1:17" ht="43.5">
      <c r="A208" s="161">
        <v>201</v>
      </c>
      <c r="B208" s="265"/>
      <c r="C208" s="267" t="s">
        <v>153</v>
      </c>
      <c r="D208" s="265"/>
      <c r="E208" s="265"/>
      <c r="F208" s="154"/>
      <c r="G208" s="3"/>
      <c r="H208" s="3"/>
      <c r="I208" s="74"/>
      <c r="J208" s="154"/>
      <c r="K208" s="154"/>
      <c r="L208" s="154"/>
      <c r="M208" s="74"/>
      <c r="N208" s="154"/>
      <c r="O208" s="3"/>
      <c r="P208" s="3"/>
      <c r="Q208" s="74"/>
    </row>
    <row r="209" spans="1:17" ht="21.75">
      <c r="A209" s="3">
        <v>202</v>
      </c>
      <c r="B209" s="265"/>
      <c r="C209" s="267" t="s">
        <v>154</v>
      </c>
      <c r="D209" s="265"/>
      <c r="E209" s="265"/>
      <c r="F209" s="154"/>
      <c r="G209" s="3"/>
      <c r="H209" s="3"/>
      <c r="I209" s="74"/>
      <c r="J209" s="154"/>
      <c r="K209" s="154"/>
      <c r="L209" s="154"/>
      <c r="M209" s="74"/>
      <c r="N209" s="154"/>
      <c r="O209" s="3"/>
      <c r="P209" s="3"/>
      <c r="Q209" s="74"/>
    </row>
    <row r="210" spans="1:17" ht="43.5">
      <c r="A210" s="161">
        <v>203</v>
      </c>
      <c r="B210" s="299"/>
      <c r="C210" s="267" t="s">
        <v>155</v>
      </c>
      <c r="D210" s="299"/>
      <c r="E210" s="299"/>
      <c r="F210" s="154"/>
      <c r="G210" s="3"/>
      <c r="H210" s="3"/>
      <c r="I210" s="74"/>
      <c r="J210" s="154"/>
      <c r="K210" s="154"/>
      <c r="L210" s="154"/>
      <c r="M210" s="74"/>
      <c r="N210" s="154"/>
      <c r="O210" s="3"/>
      <c r="P210" s="3"/>
      <c r="Q210" s="74"/>
    </row>
    <row r="211" spans="1:17" ht="87">
      <c r="A211" s="158">
        <v>204</v>
      </c>
      <c r="B211" s="265"/>
      <c r="C211" s="268" t="s">
        <v>277</v>
      </c>
      <c r="D211" s="265"/>
      <c r="E211" s="265"/>
      <c r="F211" s="199"/>
      <c r="G211" s="158"/>
      <c r="H211" s="158"/>
      <c r="I211" s="181"/>
      <c r="J211" s="199"/>
      <c r="K211" s="199"/>
      <c r="L211" s="199"/>
      <c r="M211" s="181"/>
      <c r="N211" s="199"/>
      <c r="O211" s="158"/>
      <c r="P211" s="158"/>
      <c r="Q211" s="181"/>
    </row>
    <row r="212" spans="1:17" ht="43.5">
      <c r="A212" s="161">
        <v>205</v>
      </c>
      <c r="B212" s="282"/>
      <c r="C212" s="267" t="s">
        <v>278</v>
      </c>
      <c r="D212" s="282"/>
      <c r="E212" s="282"/>
      <c r="F212" s="154"/>
      <c r="G212" s="3"/>
      <c r="H212" s="3"/>
      <c r="I212" s="74"/>
      <c r="J212" s="154"/>
      <c r="K212" s="154"/>
      <c r="L212" s="154"/>
      <c r="M212" s="74"/>
      <c r="N212" s="154"/>
      <c r="O212" s="3"/>
      <c r="P212" s="3"/>
      <c r="Q212" s="74"/>
    </row>
    <row r="213" spans="1:17" ht="43.5">
      <c r="A213" s="3">
        <v>206</v>
      </c>
      <c r="B213" s="157">
        <v>2.4</v>
      </c>
      <c r="C213" s="164" t="s">
        <v>82</v>
      </c>
      <c r="D213" s="162" t="s">
        <v>6</v>
      </c>
      <c r="E213" s="54" t="s">
        <v>261</v>
      </c>
      <c r="F213" s="163"/>
      <c r="G213" s="3"/>
      <c r="H213" s="3"/>
      <c r="I213" s="74"/>
      <c r="J213" s="142"/>
      <c r="K213" s="3"/>
      <c r="L213" s="3"/>
      <c r="M213" s="74"/>
      <c r="N213" s="142"/>
      <c r="O213" s="3"/>
      <c r="P213" s="3"/>
      <c r="Q213" s="74"/>
    </row>
    <row r="214" spans="1:17" ht="43.5">
      <c r="A214" s="161">
        <v>207</v>
      </c>
      <c r="B214" s="157"/>
      <c r="C214" s="165" t="s">
        <v>99</v>
      </c>
      <c r="D214" s="162" t="s">
        <v>5</v>
      </c>
      <c r="E214" s="157"/>
      <c r="F214" s="163"/>
      <c r="G214" s="3"/>
      <c r="H214" s="3"/>
      <c r="I214" s="74"/>
      <c r="J214" s="142"/>
      <c r="K214" s="3"/>
      <c r="L214" s="3"/>
      <c r="M214" s="74"/>
      <c r="N214" s="142"/>
      <c r="O214" s="3"/>
      <c r="P214" s="3"/>
      <c r="Q214" s="74"/>
    </row>
    <row r="215" spans="1:17" ht="65.25">
      <c r="A215" s="3">
        <v>208</v>
      </c>
      <c r="B215" s="157"/>
      <c r="C215" s="165" t="s">
        <v>225</v>
      </c>
      <c r="D215" s="168"/>
      <c r="E215" s="157"/>
      <c r="F215" s="163"/>
      <c r="G215" s="3">
        <f aca="true" t="shared" si="19" ref="G215:Q215">SUM(G216:G217)</f>
        <v>0</v>
      </c>
      <c r="H215" s="3">
        <f t="shared" si="19"/>
        <v>0</v>
      </c>
      <c r="I215" s="74">
        <f t="shared" si="19"/>
        <v>0</v>
      </c>
      <c r="J215" s="142"/>
      <c r="K215" s="3">
        <f t="shared" si="19"/>
        <v>0</v>
      </c>
      <c r="L215" s="3">
        <f t="shared" si="19"/>
        <v>0</v>
      </c>
      <c r="M215" s="74">
        <f t="shared" si="19"/>
        <v>0</v>
      </c>
      <c r="N215" s="142"/>
      <c r="O215" s="3">
        <f t="shared" si="19"/>
        <v>0</v>
      </c>
      <c r="P215" s="3">
        <f t="shared" si="19"/>
        <v>0</v>
      </c>
      <c r="Q215" s="74">
        <f t="shared" si="19"/>
        <v>0</v>
      </c>
    </row>
    <row r="216" spans="1:17" ht="21.75">
      <c r="A216" s="161">
        <v>209</v>
      </c>
      <c r="B216" s="157"/>
      <c r="C216" s="175" t="s">
        <v>332</v>
      </c>
      <c r="D216" s="168"/>
      <c r="E216" s="157"/>
      <c r="F216" s="163"/>
      <c r="G216" s="3"/>
      <c r="H216" s="3"/>
      <c r="I216" s="74"/>
      <c r="J216" s="142"/>
      <c r="K216" s="3"/>
      <c r="L216" s="3"/>
      <c r="M216" s="74"/>
      <c r="N216" s="142"/>
      <c r="O216" s="3"/>
      <c r="P216" s="3"/>
      <c r="Q216" s="74"/>
    </row>
    <row r="217" spans="1:17" ht="21.75">
      <c r="A217" s="3">
        <v>210</v>
      </c>
      <c r="B217" s="157"/>
      <c r="C217" s="175" t="s">
        <v>333</v>
      </c>
      <c r="D217" s="169"/>
      <c r="E217" s="157"/>
      <c r="F217" s="163"/>
      <c r="G217" s="3"/>
      <c r="H217" s="3"/>
      <c r="I217" s="74"/>
      <c r="J217" s="142"/>
      <c r="K217" s="3"/>
      <c r="L217" s="3"/>
      <c r="M217" s="74"/>
      <c r="N217" s="142"/>
      <c r="O217" s="3"/>
      <c r="P217" s="3"/>
      <c r="Q217" s="74"/>
    </row>
    <row r="218" spans="1:17" ht="43.5">
      <c r="A218" s="161">
        <v>211</v>
      </c>
      <c r="B218" s="158"/>
      <c r="C218" s="164" t="s">
        <v>98</v>
      </c>
      <c r="D218" s="3" t="s">
        <v>21</v>
      </c>
      <c r="E218" s="158"/>
      <c r="F218" s="142"/>
      <c r="G218" s="3"/>
      <c r="H218" s="3"/>
      <c r="I218" s="74"/>
      <c r="J218" s="142"/>
      <c r="K218" s="3"/>
      <c r="L218" s="3"/>
      <c r="M218" s="74"/>
      <c r="N218" s="142"/>
      <c r="O218" s="3"/>
      <c r="P218" s="3"/>
      <c r="Q218" s="74"/>
    </row>
    <row r="219" spans="1:17" ht="26.25" customHeight="1">
      <c r="A219" s="3">
        <v>212</v>
      </c>
      <c r="B219" s="158">
        <v>2.5</v>
      </c>
      <c r="C219" s="164" t="s">
        <v>83</v>
      </c>
      <c r="D219" s="161" t="s">
        <v>6</v>
      </c>
      <c r="E219" s="54" t="s">
        <v>261</v>
      </c>
      <c r="F219" s="163"/>
      <c r="G219" s="3"/>
      <c r="H219" s="3"/>
      <c r="I219" s="74"/>
      <c r="J219" s="142"/>
      <c r="K219" s="3"/>
      <c r="L219" s="3"/>
      <c r="M219" s="74"/>
      <c r="N219" s="142"/>
      <c r="O219" s="3"/>
      <c r="P219" s="3"/>
      <c r="Q219" s="74"/>
    </row>
    <row r="220" spans="1:17" ht="43.5">
      <c r="A220" s="161">
        <v>213</v>
      </c>
      <c r="B220" s="157" t="s">
        <v>280</v>
      </c>
      <c r="C220" s="173" t="s">
        <v>394</v>
      </c>
      <c r="D220" s="161" t="s">
        <v>100</v>
      </c>
      <c r="E220" s="157"/>
      <c r="F220" s="163"/>
      <c r="G220" s="3"/>
      <c r="H220" s="3"/>
      <c r="I220" s="74"/>
      <c r="J220" s="142"/>
      <c r="K220" s="3"/>
      <c r="L220" s="3"/>
      <c r="M220" s="74"/>
      <c r="N220" s="142"/>
      <c r="O220" s="3"/>
      <c r="P220" s="3"/>
      <c r="Q220" s="74"/>
    </row>
    <row r="221" spans="1:17" ht="65.25">
      <c r="A221" s="3">
        <v>214</v>
      </c>
      <c r="B221" s="157"/>
      <c r="C221" s="173" t="s">
        <v>279</v>
      </c>
      <c r="D221" s="161" t="s">
        <v>100</v>
      </c>
      <c r="E221" s="158"/>
      <c r="F221" s="163"/>
      <c r="G221" s="3"/>
      <c r="H221" s="3"/>
      <c r="I221" s="74"/>
      <c r="J221" s="142"/>
      <c r="K221" s="3"/>
      <c r="L221" s="3"/>
      <c r="M221" s="74"/>
      <c r="N221" s="142"/>
      <c r="O221" s="3"/>
      <c r="P221" s="3"/>
      <c r="Q221" s="74"/>
    </row>
    <row r="222" spans="1:17" ht="108.75">
      <c r="A222" s="161">
        <v>215</v>
      </c>
      <c r="B222" s="54" t="s">
        <v>281</v>
      </c>
      <c r="C222" s="164" t="s">
        <v>395</v>
      </c>
      <c r="D222" s="54" t="s">
        <v>282</v>
      </c>
      <c r="E222" s="54" t="s">
        <v>261</v>
      </c>
      <c r="F222" s="163"/>
      <c r="G222" s="3"/>
      <c r="H222" s="3"/>
      <c r="I222" s="74"/>
      <c r="J222" s="142"/>
      <c r="K222" s="3"/>
      <c r="L222" s="3"/>
      <c r="M222" s="74"/>
      <c r="N222" s="142"/>
      <c r="O222" s="3"/>
      <c r="P222" s="3"/>
      <c r="Q222" s="74"/>
    </row>
    <row r="223" spans="1:17" ht="130.5">
      <c r="A223" s="161">
        <v>216</v>
      </c>
      <c r="B223" s="157"/>
      <c r="C223" s="205" t="s">
        <v>396</v>
      </c>
      <c r="D223" s="157"/>
      <c r="E223" s="157"/>
      <c r="F223" s="206"/>
      <c r="G223" s="158"/>
      <c r="H223" s="158"/>
      <c r="I223" s="181"/>
      <c r="J223" s="182"/>
      <c r="K223" s="158"/>
      <c r="L223" s="158"/>
      <c r="M223" s="181"/>
      <c r="N223" s="182"/>
      <c r="O223" s="158"/>
      <c r="P223" s="158"/>
      <c r="Q223" s="181"/>
    </row>
    <row r="224" spans="1:17" ht="90.75" customHeight="1">
      <c r="A224" s="161">
        <v>217</v>
      </c>
      <c r="B224" s="158"/>
      <c r="C224" s="205" t="s">
        <v>397</v>
      </c>
      <c r="D224" s="158"/>
      <c r="E224" s="158"/>
      <c r="F224" s="206"/>
      <c r="G224" s="158"/>
      <c r="H224" s="158"/>
      <c r="I224" s="181"/>
      <c r="J224" s="182"/>
      <c r="K224" s="158"/>
      <c r="L224" s="158"/>
      <c r="M224" s="181"/>
      <c r="N224" s="182"/>
      <c r="O224" s="158"/>
      <c r="P224" s="158"/>
      <c r="Q224" s="181"/>
    </row>
    <row r="225" spans="1:17" ht="174">
      <c r="A225" s="3">
        <v>218</v>
      </c>
      <c r="B225" s="158"/>
      <c r="C225" s="164" t="s">
        <v>398</v>
      </c>
      <c r="D225" s="158"/>
      <c r="E225" s="158"/>
      <c r="F225" s="163"/>
      <c r="G225" s="3"/>
      <c r="H225" s="3"/>
      <c r="I225" s="74"/>
      <c r="J225" s="142"/>
      <c r="K225" s="3"/>
      <c r="L225" s="3"/>
      <c r="M225" s="74"/>
      <c r="N225" s="142"/>
      <c r="O225" s="3"/>
      <c r="P225" s="3"/>
      <c r="Q225" s="74"/>
    </row>
    <row r="226" spans="1:17" ht="43.5">
      <c r="A226" s="161">
        <v>219</v>
      </c>
      <c r="B226" s="3">
        <v>2.6</v>
      </c>
      <c r="C226" s="57" t="s">
        <v>84</v>
      </c>
      <c r="D226" s="161" t="s">
        <v>6</v>
      </c>
      <c r="E226" s="3" t="s">
        <v>261</v>
      </c>
      <c r="F226" s="163"/>
      <c r="G226" s="3"/>
      <c r="H226" s="3"/>
      <c r="I226" s="74"/>
      <c r="J226" s="142"/>
      <c r="K226" s="3"/>
      <c r="L226" s="3"/>
      <c r="M226" s="74"/>
      <c r="N226" s="142"/>
      <c r="O226" s="3"/>
      <c r="P226" s="3"/>
      <c r="Q226" s="74"/>
    </row>
    <row r="227" spans="1:17" ht="87">
      <c r="A227" s="3">
        <v>220</v>
      </c>
      <c r="B227" s="158" t="s">
        <v>284</v>
      </c>
      <c r="C227" s="291" t="s">
        <v>399</v>
      </c>
      <c r="D227" s="168" t="s">
        <v>72</v>
      </c>
      <c r="E227" s="157"/>
      <c r="F227" s="206"/>
      <c r="G227" s="158"/>
      <c r="H227" s="158"/>
      <c r="I227" s="181"/>
      <c r="J227" s="182"/>
      <c r="K227" s="158"/>
      <c r="L227" s="158"/>
      <c r="M227" s="181"/>
      <c r="N227" s="182"/>
      <c r="O227" s="158"/>
      <c r="P227" s="158"/>
      <c r="Q227" s="181"/>
    </row>
    <row r="228" spans="1:17" ht="108.75">
      <c r="A228" s="161">
        <v>221</v>
      </c>
      <c r="B228" s="158" t="s">
        <v>285</v>
      </c>
      <c r="C228" s="190" t="s">
        <v>400</v>
      </c>
      <c r="D228" s="168"/>
      <c r="E228" s="157"/>
      <c r="F228" s="163"/>
      <c r="G228" s="3"/>
      <c r="H228" s="3"/>
      <c r="I228" s="74"/>
      <c r="J228" s="142"/>
      <c r="K228" s="3"/>
      <c r="L228" s="3"/>
      <c r="M228" s="74"/>
      <c r="N228" s="142"/>
      <c r="O228" s="3"/>
      <c r="P228" s="3"/>
      <c r="Q228" s="74"/>
    </row>
    <row r="229" spans="1:17" ht="108.75">
      <c r="A229" s="3">
        <v>222</v>
      </c>
      <c r="B229" s="157" t="s">
        <v>286</v>
      </c>
      <c r="C229" s="190" t="s">
        <v>401</v>
      </c>
      <c r="D229" s="169"/>
      <c r="E229" s="158"/>
      <c r="F229" s="163"/>
      <c r="G229" s="3"/>
      <c r="H229" s="3"/>
      <c r="I229" s="74"/>
      <c r="J229" s="142"/>
      <c r="K229" s="3"/>
      <c r="L229" s="3"/>
      <c r="M229" s="74"/>
      <c r="N229" s="142"/>
      <c r="O229" s="3"/>
      <c r="P229" s="3"/>
      <c r="Q229" s="74"/>
    </row>
    <row r="230" spans="1:17" ht="43.5">
      <c r="A230" s="161">
        <v>223</v>
      </c>
      <c r="B230" s="3" t="s">
        <v>287</v>
      </c>
      <c r="C230" s="164" t="s">
        <v>402</v>
      </c>
      <c r="D230" s="3" t="s">
        <v>269</v>
      </c>
      <c r="E230" s="3" t="s">
        <v>261</v>
      </c>
      <c r="F230" s="163"/>
      <c r="G230" s="3"/>
      <c r="H230" s="3"/>
      <c r="I230" s="74"/>
      <c r="J230" s="142"/>
      <c r="K230" s="3"/>
      <c r="L230" s="3"/>
      <c r="M230" s="74"/>
      <c r="N230" s="142"/>
      <c r="O230" s="3"/>
      <c r="P230" s="3"/>
      <c r="Q230" s="74"/>
    </row>
    <row r="231" spans="1:17" ht="87">
      <c r="A231" s="3">
        <v>224</v>
      </c>
      <c r="B231" s="158"/>
      <c r="C231" s="205" t="s">
        <v>403</v>
      </c>
      <c r="D231" s="158"/>
      <c r="E231" s="158"/>
      <c r="F231" s="206"/>
      <c r="G231" s="158"/>
      <c r="H231" s="158"/>
      <c r="I231" s="181"/>
      <c r="J231" s="182"/>
      <c r="K231" s="158"/>
      <c r="L231" s="158"/>
      <c r="M231" s="181"/>
      <c r="N231" s="182"/>
      <c r="O231" s="158"/>
      <c r="P231" s="158"/>
      <c r="Q231" s="181"/>
    </row>
    <row r="232" spans="1:17" ht="130.5">
      <c r="A232" s="161">
        <v>225</v>
      </c>
      <c r="B232" s="157" t="s">
        <v>283</v>
      </c>
      <c r="C232" s="165" t="s">
        <v>585</v>
      </c>
      <c r="D232" s="331" t="s">
        <v>282</v>
      </c>
      <c r="E232" s="157" t="s">
        <v>261</v>
      </c>
      <c r="F232" s="163"/>
      <c r="G232" s="207" t="e">
        <f>AVERAGE(G233:G240)</f>
        <v>#DIV/0!</v>
      </c>
      <c r="H232" s="207" t="e">
        <f aca="true" t="shared" si="20" ref="H232:Q232">AVERAGE(H233:H240)</f>
        <v>#DIV/0!</v>
      </c>
      <c r="I232" s="208" t="e">
        <f t="shared" si="20"/>
        <v>#DIV/0!</v>
      </c>
      <c r="J232" s="142"/>
      <c r="K232" s="207" t="e">
        <f t="shared" si="20"/>
        <v>#DIV/0!</v>
      </c>
      <c r="L232" s="207" t="e">
        <f t="shared" si="20"/>
        <v>#DIV/0!</v>
      </c>
      <c r="M232" s="208" t="e">
        <f t="shared" si="20"/>
        <v>#DIV/0!</v>
      </c>
      <c r="N232" s="142"/>
      <c r="O232" s="207" t="e">
        <f t="shared" si="20"/>
        <v>#DIV/0!</v>
      </c>
      <c r="P232" s="207" t="e">
        <f t="shared" si="20"/>
        <v>#DIV/0!</v>
      </c>
      <c r="Q232" s="208" t="e">
        <f t="shared" si="20"/>
        <v>#DIV/0!</v>
      </c>
    </row>
    <row r="233" spans="1:17" ht="21.75">
      <c r="A233" s="3">
        <v>226</v>
      </c>
      <c r="B233" s="157"/>
      <c r="C233" s="175" t="s">
        <v>156</v>
      </c>
      <c r="D233" s="332"/>
      <c r="E233" s="157"/>
      <c r="F233" s="163"/>
      <c r="G233" s="209"/>
      <c r="H233" s="209"/>
      <c r="I233" s="210"/>
      <c r="J233" s="142"/>
      <c r="K233" s="209"/>
      <c r="L233" s="209"/>
      <c r="M233" s="210"/>
      <c r="N233" s="142"/>
      <c r="O233" s="209"/>
      <c r="P233" s="209"/>
      <c r="Q233" s="210"/>
    </row>
    <row r="234" spans="1:17" ht="21.75">
      <c r="A234" s="161">
        <v>227</v>
      </c>
      <c r="B234" s="157"/>
      <c r="C234" s="175" t="s">
        <v>157</v>
      </c>
      <c r="D234" s="157"/>
      <c r="E234" s="157"/>
      <c r="F234" s="163"/>
      <c r="G234" s="209"/>
      <c r="H234" s="209"/>
      <c r="I234" s="210"/>
      <c r="J234" s="142"/>
      <c r="K234" s="209"/>
      <c r="L234" s="209"/>
      <c r="M234" s="210"/>
      <c r="N234" s="142"/>
      <c r="O234" s="209"/>
      <c r="P234" s="209"/>
      <c r="Q234" s="210"/>
    </row>
    <row r="235" spans="1:17" ht="21.75">
      <c r="A235" s="3">
        <v>228</v>
      </c>
      <c r="B235" s="157"/>
      <c r="C235" s="175" t="s">
        <v>158</v>
      </c>
      <c r="D235" s="157"/>
      <c r="E235" s="157"/>
      <c r="F235" s="163"/>
      <c r="G235" s="209"/>
      <c r="H235" s="209"/>
      <c r="I235" s="210"/>
      <c r="J235" s="142"/>
      <c r="K235" s="209"/>
      <c r="L235" s="209"/>
      <c r="M235" s="210"/>
      <c r="N235" s="142"/>
      <c r="O235" s="209"/>
      <c r="P235" s="209"/>
      <c r="Q235" s="210"/>
    </row>
    <row r="236" spans="1:17" ht="21.75">
      <c r="A236" s="161">
        <v>229</v>
      </c>
      <c r="B236" s="157"/>
      <c r="C236" s="175" t="s">
        <v>159</v>
      </c>
      <c r="D236" s="157"/>
      <c r="E236" s="157"/>
      <c r="F236" s="163"/>
      <c r="G236" s="209"/>
      <c r="H236" s="209"/>
      <c r="I236" s="210"/>
      <c r="J236" s="142"/>
      <c r="K236" s="209"/>
      <c r="L236" s="209"/>
      <c r="M236" s="210"/>
      <c r="N236" s="142"/>
      <c r="O236" s="209"/>
      <c r="P236" s="209"/>
      <c r="Q236" s="210"/>
    </row>
    <row r="237" spans="1:17" ht="21.75">
      <c r="A237" s="3">
        <v>230</v>
      </c>
      <c r="B237" s="158"/>
      <c r="C237" s="175" t="s">
        <v>160</v>
      </c>
      <c r="D237" s="158"/>
      <c r="E237" s="158"/>
      <c r="F237" s="163"/>
      <c r="G237" s="209"/>
      <c r="H237" s="209"/>
      <c r="I237" s="210"/>
      <c r="J237" s="142"/>
      <c r="K237" s="209"/>
      <c r="L237" s="209"/>
      <c r="M237" s="210"/>
      <c r="N237" s="142"/>
      <c r="O237" s="209"/>
      <c r="P237" s="209"/>
      <c r="Q237" s="210"/>
    </row>
    <row r="238" spans="1:17" ht="21.75">
      <c r="A238" s="169">
        <v>231</v>
      </c>
      <c r="B238" s="157"/>
      <c r="C238" s="203" t="s">
        <v>161</v>
      </c>
      <c r="D238" s="157"/>
      <c r="E238" s="157"/>
      <c r="F238" s="206"/>
      <c r="G238" s="223"/>
      <c r="H238" s="223"/>
      <c r="I238" s="224"/>
      <c r="J238" s="182"/>
      <c r="K238" s="223"/>
      <c r="L238" s="223"/>
      <c r="M238" s="224"/>
      <c r="N238" s="182"/>
      <c r="O238" s="223"/>
      <c r="P238" s="223"/>
      <c r="Q238" s="224"/>
    </row>
    <row r="239" spans="1:17" ht="21.75">
      <c r="A239" s="3">
        <v>232</v>
      </c>
      <c r="B239" s="157"/>
      <c r="C239" s="175" t="s">
        <v>162</v>
      </c>
      <c r="D239" s="157"/>
      <c r="E239" s="157"/>
      <c r="F239" s="163"/>
      <c r="G239" s="209"/>
      <c r="H239" s="209"/>
      <c r="I239" s="210"/>
      <c r="J239" s="142"/>
      <c r="K239" s="209"/>
      <c r="L239" s="209"/>
      <c r="M239" s="210"/>
      <c r="N239" s="142"/>
      <c r="O239" s="209"/>
      <c r="P239" s="209"/>
      <c r="Q239" s="210"/>
    </row>
    <row r="240" spans="1:17" ht="21.75">
      <c r="A240" s="161">
        <v>233</v>
      </c>
      <c r="B240" s="158"/>
      <c r="C240" s="175" t="s">
        <v>163</v>
      </c>
      <c r="D240" s="158"/>
      <c r="E240" s="158"/>
      <c r="F240" s="163"/>
      <c r="G240" s="209"/>
      <c r="H240" s="209"/>
      <c r="I240" s="210"/>
      <c r="J240" s="142"/>
      <c r="K240" s="209"/>
      <c r="L240" s="209"/>
      <c r="M240" s="210"/>
      <c r="N240" s="142"/>
      <c r="O240" s="209"/>
      <c r="P240" s="209"/>
      <c r="Q240" s="210"/>
    </row>
    <row r="241" spans="1:17" ht="43.5">
      <c r="A241" s="3">
        <v>234</v>
      </c>
      <c r="B241" s="3">
        <v>2.7</v>
      </c>
      <c r="C241" s="57" t="s">
        <v>222</v>
      </c>
      <c r="D241" s="3" t="s">
        <v>6</v>
      </c>
      <c r="E241" s="54" t="s">
        <v>261</v>
      </c>
      <c r="F241" s="142"/>
      <c r="G241" s="3"/>
      <c r="H241" s="3"/>
      <c r="I241" s="74"/>
      <c r="J241" s="142"/>
      <c r="K241" s="3"/>
      <c r="L241" s="3"/>
      <c r="M241" s="74"/>
      <c r="N241" s="142"/>
      <c r="O241" s="3"/>
      <c r="P241" s="3"/>
      <c r="Q241" s="74"/>
    </row>
    <row r="242" spans="1:17" ht="65.25">
      <c r="A242" s="161">
        <v>235</v>
      </c>
      <c r="B242" s="3">
        <v>2.8</v>
      </c>
      <c r="C242" s="59" t="s">
        <v>230</v>
      </c>
      <c r="D242" s="161" t="s">
        <v>6</v>
      </c>
      <c r="E242" s="54" t="s">
        <v>261</v>
      </c>
      <c r="F242" s="170"/>
      <c r="G242" s="3"/>
      <c r="H242" s="3"/>
      <c r="I242" s="74"/>
      <c r="J242" s="143"/>
      <c r="K242" s="3"/>
      <c r="L242" s="3"/>
      <c r="M242" s="74"/>
      <c r="N242" s="143"/>
      <c r="O242" s="3"/>
      <c r="P242" s="3"/>
      <c r="Q242" s="74"/>
    </row>
    <row r="243" spans="1:17" ht="65.25">
      <c r="A243" s="3">
        <v>236</v>
      </c>
      <c r="B243" s="157" t="s">
        <v>288</v>
      </c>
      <c r="C243" s="165" t="s">
        <v>404</v>
      </c>
      <c r="D243" s="168" t="s">
        <v>103</v>
      </c>
      <c r="E243" s="157"/>
      <c r="F243" s="170"/>
      <c r="G243" s="209"/>
      <c r="H243" s="209"/>
      <c r="I243" s="210"/>
      <c r="J243" s="142"/>
      <c r="K243" s="209"/>
      <c r="L243" s="209"/>
      <c r="M243" s="210"/>
      <c r="N243" s="142"/>
      <c r="O243" s="209"/>
      <c r="P243" s="209"/>
      <c r="Q243" s="210"/>
    </row>
    <row r="244" spans="1:17" ht="43.5">
      <c r="A244" s="161">
        <v>237</v>
      </c>
      <c r="B244" s="54" t="s">
        <v>289</v>
      </c>
      <c r="C244" s="165" t="s">
        <v>405</v>
      </c>
      <c r="D244" s="162" t="s">
        <v>3</v>
      </c>
      <c r="E244" s="157"/>
      <c r="F244" s="170"/>
      <c r="G244" s="209"/>
      <c r="H244" s="209"/>
      <c r="I244" s="210"/>
      <c r="J244" s="142"/>
      <c r="K244" s="209"/>
      <c r="L244" s="209"/>
      <c r="M244" s="210"/>
      <c r="N244" s="142"/>
      <c r="O244" s="209"/>
      <c r="P244" s="209"/>
      <c r="Q244" s="210"/>
    </row>
    <row r="245" spans="1:17" ht="65.25">
      <c r="A245" s="3">
        <v>238</v>
      </c>
      <c r="B245" s="157"/>
      <c r="C245" s="165" t="s">
        <v>406</v>
      </c>
      <c r="D245" s="169"/>
      <c r="E245" s="157"/>
      <c r="F245" s="170"/>
      <c r="G245" s="209"/>
      <c r="H245" s="209"/>
      <c r="I245" s="210"/>
      <c r="J245" s="142"/>
      <c r="K245" s="209"/>
      <c r="L245" s="209"/>
      <c r="M245" s="210"/>
      <c r="N245" s="142"/>
      <c r="O245" s="209"/>
      <c r="P245" s="209"/>
      <c r="Q245" s="210"/>
    </row>
    <row r="246" spans="1:17" ht="87">
      <c r="A246" s="161">
        <v>239</v>
      </c>
      <c r="B246" s="54" t="s">
        <v>290</v>
      </c>
      <c r="C246" s="165" t="s">
        <v>407</v>
      </c>
      <c r="D246" s="161" t="s">
        <v>5</v>
      </c>
      <c r="E246" s="157"/>
      <c r="F246" s="163"/>
      <c r="G246" s="209"/>
      <c r="H246" s="209"/>
      <c r="I246" s="210"/>
      <c r="J246" s="142"/>
      <c r="K246" s="209"/>
      <c r="L246" s="209"/>
      <c r="M246" s="210"/>
      <c r="N246" s="142"/>
      <c r="O246" s="209"/>
      <c r="P246" s="209"/>
      <c r="Q246" s="210"/>
    </row>
    <row r="247" spans="1:17" ht="108.75">
      <c r="A247" s="161">
        <v>240</v>
      </c>
      <c r="B247" s="158"/>
      <c r="C247" s="222" t="s">
        <v>408</v>
      </c>
      <c r="D247" s="169" t="s">
        <v>291</v>
      </c>
      <c r="E247" s="158"/>
      <c r="F247" s="206"/>
      <c r="G247" s="223"/>
      <c r="H247" s="223"/>
      <c r="I247" s="224"/>
      <c r="J247" s="182"/>
      <c r="K247" s="223"/>
      <c r="L247" s="223"/>
      <c r="M247" s="224"/>
      <c r="N247" s="182"/>
      <c r="O247" s="223"/>
      <c r="P247" s="223"/>
      <c r="Q247" s="224"/>
    </row>
    <row r="248" spans="1:17" ht="21.75">
      <c r="A248" s="18"/>
      <c r="B248" s="176"/>
      <c r="C248" s="55" t="s">
        <v>75</v>
      </c>
      <c r="D248" s="17"/>
      <c r="E248" s="171"/>
      <c r="F248" s="144"/>
      <c r="G248" s="18"/>
      <c r="H248" s="18"/>
      <c r="I248" s="316"/>
      <c r="J248" s="144"/>
      <c r="K248" s="18"/>
      <c r="L248" s="18"/>
      <c r="M248" s="316"/>
      <c r="N248" s="144"/>
      <c r="O248" s="18"/>
      <c r="P248" s="18"/>
      <c r="Q248" s="316"/>
    </row>
    <row r="249" spans="1:17" ht="43.5">
      <c r="A249" s="3">
        <v>241</v>
      </c>
      <c r="B249" s="3">
        <v>3.1</v>
      </c>
      <c r="C249" s="57" t="s">
        <v>85</v>
      </c>
      <c r="D249" s="3" t="s">
        <v>6</v>
      </c>
      <c r="E249" s="3"/>
      <c r="F249" s="142"/>
      <c r="G249" s="3"/>
      <c r="H249" s="3"/>
      <c r="I249" s="74"/>
      <c r="J249" s="142"/>
      <c r="K249" s="3"/>
      <c r="L249" s="3"/>
      <c r="M249" s="74"/>
      <c r="N249" s="142"/>
      <c r="O249" s="3"/>
      <c r="P249" s="3"/>
      <c r="Q249" s="74"/>
    </row>
    <row r="250" spans="1:17" ht="43.5">
      <c r="A250" s="161">
        <v>242</v>
      </c>
      <c r="B250" s="331" t="s">
        <v>303</v>
      </c>
      <c r="C250" s="164" t="s">
        <v>409</v>
      </c>
      <c r="D250" s="54" t="s">
        <v>291</v>
      </c>
      <c r="E250" s="54" t="s">
        <v>261</v>
      </c>
      <c r="F250" s="142"/>
      <c r="G250" s="2">
        <f>SUM(G251:G255)</f>
        <v>0</v>
      </c>
      <c r="H250" s="2">
        <f>SUM(H251:H255)</f>
        <v>0</v>
      </c>
      <c r="I250" s="75">
        <f>SUM(I251:I255)</f>
        <v>0</v>
      </c>
      <c r="J250" s="142"/>
      <c r="K250" s="2">
        <f>SUM(K251:K255)</f>
        <v>0</v>
      </c>
      <c r="L250" s="2">
        <f>SUM(L251:L255)</f>
        <v>0</v>
      </c>
      <c r="M250" s="75">
        <f>SUM(M251:M255)</f>
        <v>0</v>
      </c>
      <c r="N250" s="142"/>
      <c r="O250" s="2">
        <f>SUM(O251:O255)</f>
        <v>0</v>
      </c>
      <c r="P250" s="2">
        <f>SUM(P251:P255)</f>
        <v>0</v>
      </c>
      <c r="Q250" s="75">
        <f>SUM(Q251:Q255)</f>
        <v>0</v>
      </c>
    </row>
    <row r="251" spans="1:17" ht="65.25">
      <c r="A251" s="3">
        <v>243</v>
      </c>
      <c r="B251" s="332"/>
      <c r="C251" s="173" t="s">
        <v>298</v>
      </c>
      <c r="D251" s="157"/>
      <c r="E251" s="157"/>
      <c r="F251" s="142"/>
      <c r="G251" s="3"/>
      <c r="H251" s="3"/>
      <c r="I251" s="74"/>
      <c r="J251" s="142"/>
      <c r="K251" s="3"/>
      <c r="L251" s="3"/>
      <c r="M251" s="74"/>
      <c r="N251" s="142"/>
      <c r="O251" s="3"/>
      <c r="P251" s="3"/>
      <c r="Q251" s="74"/>
    </row>
    <row r="252" spans="1:17" ht="65.25">
      <c r="A252" s="161">
        <v>244</v>
      </c>
      <c r="B252" s="157"/>
      <c r="C252" s="173" t="s">
        <v>299</v>
      </c>
      <c r="D252" s="157"/>
      <c r="E252" s="157"/>
      <c r="F252" s="142"/>
      <c r="G252" s="3"/>
      <c r="H252" s="3"/>
      <c r="I252" s="74"/>
      <c r="J252" s="142"/>
      <c r="K252" s="3"/>
      <c r="L252" s="3"/>
      <c r="M252" s="74"/>
      <c r="N252" s="142"/>
      <c r="O252" s="3"/>
      <c r="P252" s="3"/>
      <c r="Q252" s="74"/>
    </row>
    <row r="253" spans="1:17" ht="65.25">
      <c r="A253" s="3">
        <v>245</v>
      </c>
      <c r="B253" s="158"/>
      <c r="C253" s="173" t="s">
        <v>300</v>
      </c>
      <c r="D253" s="158"/>
      <c r="E253" s="158"/>
      <c r="F253" s="142"/>
      <c r="G253" s="3"/>
      <c r="H253" s="3"/>
      <c r="I253" s="74"/>
      <c r="J253" s="142"/>
      <c r="K253" s="3"/>
      <c r="L253" s="3"/>
      <c r="M253" s="74"/>
      <c r="N253" s="142"/>
      <c r="O253" s="3"/>
      <c r="P253" s="3"/>
      <c r="Q253" s="74"/>
    </row>
    <row r="254" spans="1:17" ht="65.25">
      <c r="A254" s="161">
        <v>246</v>
      </c>
      <c r="B254" s="157"/>
      <c r="C254" s="194" t="s">
        <v>301</v>
      </c>
      <c r="D254" s="157"/>
      <c r="E254" s="157"/>
      <c r="F254" s="182"/>
      <c r="G254" s="158"/>
      <c r="H254" s="158"/>
      <c r="I254" s="181"/>
      <c r="J254" s="182"/>
      <c r="K254" s="158"/>
      <c r="L254" s="158"/>
      <c r="M254" s="181"/>
      <c r="N254" s="182"/>
      <c r="O254" s="158"/>
      <c r="P254" s="158"/>
      <c r="Q254" s="181"/>
    </row>
    <row r="255" spans="1:17" ht="43.5">
      <c r="A255" s="3">
        <v>247</v>
      </c>
      <c r="B255" s="158"/>
      <c r="C255" s="173" t="s">
        <v>302</v>
      </c>
      <c r="D255" s="158"/>
      <c r="E255" s="158"/>
      <c r="F255" s="142"/>
      <c r="G255" s="3"/>
      <c r="H255" s="3"/>
      <c r="I255" s="74"/>
      <c r="J255" s="142"/>
      <c r="K255" s="3"/>
      <c r="L255" s="3"/>
      <c r="M255" s="74"/>
      <c r="N255" s="142"/>
      <c r="O255" s="3"/>
      <c r="P255" s="3"/>
      <c r="Q255" s="74"/>
    </row>
    <row r="256" spans="1:17" ht="43.5">
      <c r="A256" s="161">
        <v>248</v>
      </c>
      <c r="B256" s="54" t="s">
        <v>307</v>
      </c>
      <c r="C256" s="164" t="s">
        <v>410</v>
      </c>
      <c r="D256" s="331" t="s">
        <v>282</v>
      </c>
      <c r="E256" s="54" t="s">
        <v>261</v>
      </c>
      <c r="F256" s="142"/>
      <c r="G256" s="209" t="e">
        <f>AVERAGE(G257:G261)</f>
        <v>#DIV/0!</v>
      </c>
      <c r="H256" s="209" t="e">
        <f>AVERAGE(H257:H261)</f>
        <v>#DIV/0!</v>
      </c>
      <c r="I256" s="210" t="e">
        <f>AVERAGE(I257:I261)</f>
        <v>#DIV/0!</v>
      </c>
      <c r="J256" s="142"/>
      <c r="K256" s="209" t="e">
        <f>AVERAGE(K257:K261)</f>
        <v>#DIV/0!</v>
      </c>
      <c r="L256" s="209" t="e">
        <f>AVERAGE(L257:L261)</f>
        <v>#DIV/0!</v>
      </c>
      <c r="M256" s="210" t="e">
        <f>AVERAGE(M257:M261)</f>
        <v>#DIV/0!</v>
      </c>
      <c r="N256" s="142"/>
      <c r="O256" s="209" t="e">
        <f>AVERAGE(O257:O261)</f>
        <v>#DIV/0!</v>
      </c>
      <c r="P256" s="209" t="e">
        <f>AVERAGE(P257:P261)</f>
        <v>#DIV/0!</v>
      </c>
      <c r="Q256" s="210" t="e">
        <f>AVERAGE(Q257:Q261)</f>
        <v>#DIV/0!</v>
      </c>
    </row>
    <row r="257" spans="1:17" ht="65.25">
      <c r="A257" s="3">
        <v>249</v>
      </c>
      <c r="B257" s="157"/>
      <c r="C257" s="173" t="s">
        <v>304</v>
      </c>
      <c r="D257" s="332"/>
      <c r="E257" s="157"/>
      <c r="F257" s="142"/>
      <c r="G257" s="3"/>
      <c r="H257" s="3"/>
      <c r="I257" s="74"/>
      <c r="J257" s="142"/>
      <c r="K257" s="3"/>
      <c r="L257" s="3"/>
      <c r="M257" s="74"/>
      <c r="N257" s="142"/>
      <c r="O257" s="3"/>
      <c r="P257" s="3"/>
      <c r="Q257" s="74"/>
    </row>
    <row r="258" spans="1:17" ht="65.25">
      <c r="A258" s="161">
        <v>250</v>
      </c>
      <c r="B258" s="157"/>
      <c r="C258" s="173" t="s">
        <v>305</v>
      </c>
      <c r="D258" s="332"/>
      <c r="E258" s="157"/>
      <c r="F258" s="142"/>
      <c r="G258" s="3"/>
      <c r="H258" s="3"/>
      <c r="I258" s="74"/>
      <c r="J258" s="142"/>
      <c r="K258" s="3"/>
      <c r="L258" s="3"/>
      <c r="M258" s="74"/>
      <c r="N258" s="142"/>
      <c r="O258" s="3"/>
      <c r="P258" s="3"/>
      <c r="Q258" s="74"/>
    </row>
    <row r="259" spans="1:17" ht="65.25">
      <c r="A259" s="3">
        <v>251</v>
      </c>
      <c r="B259" s="157"/>
      <c r="C259" s="173" t="s">
        <v>306</v>
      </c>
      <c r="D259" s="332"/>
      <c r="E259" s="157"/>
      <c r="F259" s="142"/>
      <c r="G259" s="3"/>
      <c r="H259" s="3"/>
      <c r="I259" s="74"/>
      <c r="J259" s="142"/>
      <c r="K259" s="3"/>
      <c r="L259" s="3"/>
      <c r="M259" s="74"/>
      <c r="N259" s="142"/>
      <c r="O259" s="3"/>
      <c r="P259" s="3"/>
      <c r="Q259" s="74"/>
    </row>
    <row r="260" spans="1:17" ht="65.25">
      <c r="A260" s="161">
        <v>252</v>
      </c>
      <c r="B260" s="157"/>
      <c r="C260" s="173" t="s">
        <v>308</v>
      </c>
      <c r="D260" s="332"/>
      <c r="E260" s="157"/>
      <c r="F260" s="142"/>
      <c r="G260" s="3"/>
      <c r="H260" s="3"/>
      <c r="I260" s="74"/>
      <c r="J260" s="142"/>
      <c r="K260" s="3"/>
      <c r="L260" s="3"/>
      <c r="M260" s="74"/>
      <c r="N260" s="142"/>
      <c r="O260" s="3"/>
      <c r="P260" s="3"/>
      <c r="Q260" s="74"/>
    </row>
    <row r="261" spans="1:17" ht="65.25">
      <c r="A261" s="3">
        <v>253</v>
      </c>
      <c r="B261" s="158"/>
      <c r="C261" s="173" t="s">
        <v>309</v>
      </c>
      <c r="D261" s="333"/>
      <c r="E261" s="158"/>
      <c r="F261" s="142"/>
      <c r="G261" s="3"/>
      <c r="H261" s="3"/>
      <c r="I261" s="74"/>
      <c r="J261" s="142"/>
      <c r="K261" s="3"/>
      <c r="L261" s="3"/>
      <c r="M261" s="74"/>
      <c r="N261" s="142"/>
      <c r="O261" s="3"/>
      <c r="P261" s="3"/>
      <c r="Q261" s="74"/>
    </row>
    <row r="262" spans="1:17" ht="43.5">
      <c r="A262" s="161">
        <v>254</v>
      </c>
      <c r="B262" s="54">
        <v>3.2</v>
      </c>
      <c r="C262" s="57" t="s">
        <v>86</v>
      </c>
      <c r="D262" s="3" t="s">
        <v>6</v>
      </c>
      <c r="E262" s="3"/>
      <c r="F262" s="142"/>
      <c r="G262" s="3"/>
      <c r="H262" s="3"/>
      <c r="I262" s="74"/>
      <c r="J262" s="142"/>
      <c r="K262" s="3"/>
      <c r="L262" s="3"/>
      <c r="M262" s="74"/>
      <c r="N262" s="142"/>
      <c r="O262" s="3"/>
      <c r="P262" s="3"/>
      <c r="Q262" s="74"/>
    </row>
    <row r="263" spans="1:17" ht="65.25">
      <c r="A263" s="3">
        <v>255</v>
      </c>
      <c r="B263" s="54" t="s">
        <v>292</v>
      </c>
      <c r="C263" s="164" t="s">
        <v>411</v>
      </c>
      <c r="D263" s="154" t="s">
        <v>291</v>
      </c>
      <c r="E263" s="3" t="s">
        <v>261</v>
      </c>
      <c r="F263" s="142"/>
      <c r="G263" s="2">
        <f>SUM(G264:G268)</f>
        <v>0</v>
      </c>
      <c r="H263" s="2">
        <f>SUM(H264:H268)</f>
        <v>0</v>
      </c>
      <c r="I263" s="75">
        <f>SUM(I264:I268)</f>
        <v>0</v>
      </c>
      <c r="J263" s="142"/>
      <c r="K263" s="2">
        <f>SUM(K264:K268)</f>
        <v>0</v>
      </c>
      <c r="L263" s="2">
        <f>SUM(L264:L268)</f>
        <v>0</v>
      </c>
      <c r="M263" s="75">
        <f>SUM(M264:M268)</f>
        <v>0</v>
      </c>
      <c r="N263" s="142"/>
      <c r="O263" s="2">
        <f>SUM(O264:O268)</f>
        <v>0</v>
      </c>
      <c r="P263" s="2">
        <f>SUM(P264:P268)</f>
        <v>0</v>
      </c>
      <c r="Q263" s="75">
        <f>SUM(Q264:Q268)</f>
        <v>0</v>
      </c>
    </row>
    <row r="264" spans="1:17" ht="65.25">
      <c r="A264" s="161">
        <v>256</v>
      </c>
      <c r="B264" s="157"/>
      <c r="C264" s="194" t="s">
        <v>293</v>
      </c>
      <c r="D264" s="307"/>
      <c r="E264" s="157"/>
      <c r="F264" s="182"/>
      <c r="G264" s="158"/>
      <c r="H264" s="158"/>
      <c r="I264" s="181"/>
      <c r="J264" s="182"/>
      <c r="K264" s="158"/>
      <c r="L264" s="158"/>
      <c r="M264" s="181"/>
      <c r="N264" s="182"/>
      <c r="O264" s="158"/>
      <c r="P264" s="158"/>
      <c r="Q264" s="181"/>
    </row>
    <row r="265" spans="1:17" ht="43.5">
      <c r="A265" s="3">
        <v>257</v>
      </c>
      <c r="B265" s="157"/>
      <c r="C265" s="173" t="s">
        <v>294</v>
      </c>
      <c r="D265" s="307"/>
      <c r="E265" s="157"/>
      <c r="F265" s="142"/>
      <c r="G265" s="3"/>
      <c r="H265" s="3"/>
      <c r="I265" s="74"/>
      <c r="J265" s="142"/>
      <c r="K265" s="3"/>
      <c r="L265" s="3"/>
      <c r="M265" s="74"/>
      <c r="N265" s="142"/>
      <c r="O265" s="3"/>
      <c r="P265" s="3"/>
      <c r="Q265" s="74"/>
    </row>
    <row r="266" spans="1:17" ht="43.5">
      <c r="A266" s="161">
        <v>258</v>
      </c>
      <c r="B266" s="157"/>
      <c r="C266" s="173" t="s">
        <v>295</v>
      </c>
      <c r="D266" s="307"/>
      <c r="E266" s="157"/>
      <c r="F266" s="142"/>
      <c r="G266" s="3"/>
      <c r="H266" s="3"/>
      <c r="I266" s="74"/>
      <c r="J266" s="142"/>
      <c r="K266" s="3"/>
      <c r="L266" s="3"/>
      <c r="M266" s="74"/>
      <c r="N266" s="142"/>
      <c r="O266" s="3"/>
      <c r="P266" s="3"/>
      <c r="Q266" s="74"/>
    </row>
    <row r="267" spans="1:17" ht="21.75">
      <c r="A267" s="3">
        <v>259</v>
      </c>
      <c r="B267" s="157"/>
      <c r="C267" s="173" t="s">
        <v>296</v>
      </c>
      <c r="D267" s="307"/>
      <c r="E267" s="157"/>
      <c r="F267" s="142"/>
      <c r="G267" s="3"/>
      <c r="H267" s="3"/>
      <c r="I267" s="74"/>
      <c r="J267" s="142"/>
      <c r="K267" s="3"/>
      <c r="L267" s="3"/>
      <c r="M267" s="74"/>
      <c r="N267" s="142"/>
      <c r="O267" s="3"/>
      <c r="P267" s="3"/>
      <c r="Q267" s="74"/>
    </row>
    <row r="268" spans="1:17" ht="21.75">
      <c r="A268" s="161">
        <v>260</v>
      </c>
      <c r="B268" s="157"/>
      <c r="C268" s="173" t="s">
        <v>297</v>
      </c>
      <c r="D268" s="307"/>
      <c r="E268" s="157"/>
      <c r="F268" s="142"/>
      <c r="G268" s="3"/>
      <c r="H268" s="3"/>
      <c r="I268" s="74"/>
      <c r="J268" s="142"/>
      <c r="K268" s="3"/>
      <c r="L268" s="3"/>
      <c r="M268" s="74"/>
      <c r="N268" s="142"/>
      <c r="O268" s="3"/>
      <c r="P268" s="3"/>
      <c r="Q268" s="74"/>
    </row>
    <row r="269" spans="1:17" ht="21.75" customHeight="1">
      <c r="A269" s="3">
        <v>261</v>
      </c>
      <c r="B269" s="157"/>
      <c r="C269" s="165" t="s">
        <v>412</v>
      </c>
      <c r="D269" s="331" t="s">
        <v>282</v>
      </c>
      <c r="E269" s="54" t="s">
        <v>261</v>
      </c>
      <c r="F269" s="142"/>
      <c r="G269" s="209" t="e">
        <f>AVERAGE(G270:G274)</f>
        <v>#DIV/0!</v>
      </c>
      <c r="H269" s="209" t="e">
        <f aca="true" t="shared" si="21" ref="H269:Q269">AVERAGE(H270:H274)</f>
        <v>#DIV/0!</v>
      </c>
      <c r="I269" s="74" t="e">
        <f t="shared" si="21"/>
        <v>#DIV/0!</v>
      </c>
      <c r="J269" s="142"/>
      <c r="K269" s="209" t="e">
        <f t="shared" si="21"/>
        <v>#DIV/0!</v>
      </c>
      <c r="L269" s="209" t="e">
        <f t="shared" si="21"/>
        <v>#DIV/0!</v>
      </c>
      <c r="M269" s="74" t="e">
        <f t="shared" si="21"/>
        <v>#DIV/0!</v>
      </c>
      <c r="N269" s="142"/>
      <c r="O269" s="209" t="e">
        <f t="shared" si="21"/>
        <v>#DIV/0!</v>
      </c>
      <c r="P269" s="209" t="e">
        <f t="shared" si="21"/>
        <v>#DIV/0!</v>
      </c>
      <c r="Q269" s="74" t="e">
        <f t="shared" si="21"/>
        <v>#DIV/0!</v>
      </c>
    </row>
    <row r="270" spans="1:17" ht="43.5">
      <c r="A270" s="161">
        <v>262</v>
      </c>
      <c r="B270" s="157"/>
      <c r="C270" s="175" t="s">
        <v>174</v>
      </c>
      <c r="D270" s="332"/>
      <c r="E270" s="157"/>
      <c r="F270" s="142"/>
      <c r="G270" s="3"/>
      <c r="H270" s="3"/>
      <c r="I270" s="74"/>
      <c r="J270" s="142"/>
      <c r="K270" s="3"/>
      <c r="L270" s="3"/>
      <c r="M270" s="74"/>
      <c r="N270" s="142"/>
      <c r="O270" s="3"/>
      <c r="P270" s="3"/>
      <c r="Q270" s="74"/>
    </row>
    <row r="271" spans="1:17" ht="21.75">
      <c r="A271" s="3">
        <v>263</v>
      </c>
      <c r="B271" s="158"/>
      <c r="C271" s="175" t="s">
        <v>173</v>
      </c>
      <c r="D271" s="306"/>
      <c r="E271" s="158"/>
      <c r="F271" s="142"/>
      <c r="G271" s="3"/>
      <c r="H271" s="3"/>
      <c r="I271" s="74"/>
      <c r="J271" s="142"/>
      <c r="K271" s="3"/>
      <c r="L271" s="3"/>
      <c r="M271" s="74"/>
      <c r="N271" s="142"/>
      <c r="O271" s="3"/>
      <c r="P271" s="3"/>
      <c r="Q271" s="74"/>
    </row>
    <row r="272" spans="1:17" ht="43.5">
      <c r="A272" s="161">
        <v>264</v>
      </c>
      <c r="B272" s="157"/>
      <c r="C272" s="305" t="s">
        <v>172</v>
      </c>
      <c r="D272" s="304"/>
      <c r="E272" s="157"/>
      <c r="F272" s="182"/>
      <c r="G272" s="158"/>
      <c r="H272" s="158"/>
      <c r="I272" s="181"/>
      <c r="J272" s="182"/>
      <c r="K272" s="158"/>
      <c r="L272" s="158"/>
      <c r="M272" s="181"/>
      <c r="N272" s="182"/>
      <c r="O272" s="158"/>
      <c r="P272" s="158"/>
      <c r="Q272" s="181"/>
    </row>
    <row r="273" spans="1:17" ht="21.75">
      <c r="A273" s="3">
        <v>265</v>
      </c>
      <c r="B273" s="157"/>
      <c r="C273" s="195" t="s">
        <v>175</v>
      </c>
      <c r="D273" s="159"/>
      <c r="E273" s="157"/>
      <c r="F273" s="142"/>
      <c r="G273" s="3"/>
      <c r="H273" s="3"/>
      <c r="I273" s="74"/>
      <c r="J273" s="142"/>
      <c r="K273" s="3"/>
      <c r="L273" s="3"/>
      <c r="M273" s="74"/>
      <c r="N273" s="142"/>
      <c r="O273" s="3"/>
      <c r="P273" s="3"/>
      <c r="Q273" s="74"/>
    </row>
    <row r="274" spans="1:17" ht="21.75">
      <c r="A274" s="161">
        <v>266</v>
      </c>
      <c r="B274" s="158"/>
      <c r="C274" s="195" t="s">
        <v>176</v>
      </c>
      <c r="D274" s="160"/>
      <c r="E274" s="158"/>
      <c r="F274" s="142"/>
      <c r="G274" s="3"/>
      <c r="H274" s="3"/>
      <c r="I274" s="74"/>
      <c r="J274" s="142"/>
      <c r="K274" s="3"/>
      <c r="L274" s="3"/>
      <c r="M274" s="74"/>
      <c r="N274" s="142"/>
      <c r="O274" s="3"/>
      <c r="P274" s="3"/>
      <c r="Q274" s="74"/>
    </row>
    <row r="275" spans="1:17" ht="21.75">
      <c r="A275" s="3">
        <v>267</v>
      </c>
      <c r="B275" s="3">
        <v>3.3</v>
      </c>
      <c r="C275" s="57" t="s">
        <v>87</v>
      </c>
      <c r="D275" s="158" t="s">
        <v>6</v>
      </c>
      <c r="E275" s="3"/>
      <c r="F275" s="142"/>
      <c r="G275" s="3"/>
      <c r="H275" s="3"/>
      <c r="I275" s="74"/>
      <c r="J275" s="142"/>
      <c r="K275" s="3"/>
      <c r="L275" s="3"/>
      <c r="M275" s="74"/>
      <c r="N275" s="142"/>
      <c r="O275" s="3"/>
      <c r="P275" s="3"/>
      <c r="Q275" s="74"/>
    </row>
    <row r="276" spans="1:17" ht="21.75">
      <c r="A276" s="18"/>
      <c r="B276" s="172"/>
      <c r="C276" s="55" t="s">
        <v>20</v>
      </c>
      <c r="D276" s="17"/>
      <c r="E276" s="17"/>
      <c r="F276" s="144"/>
      <c r="G276" s="18"/>
      <c r="H276" s="18"/>
      <c r="I276" s="316"/>
      <c r="J276" s="144"/>
      <c r="K276" s="18"/>
      <c r="L276" s="18"/>
      <c r="M276" s="316"/>
      <c r="N276" s="144"/>
      <c r="O276" s="18"/>
      <c r="P276" s="18"/>
      <c r="Q276" s="316"/>
    </row>
    <row r="277" spans="1:17" ht="21.75">
      <c r="A277" s="161">
        <v>268</v>
      </c>
      <c r="B277" s="54">
        <v>4.1</v>
      </c>
      <c r="C277" s="164" t="s">
        <v>413</v>
      </c>
      <c r="D277" s="54" t="s">
        <v>5</v>
      </c>
      <c r="E277" s="54" t="s">
        <v>261</v>
      </c>
      <c r="F277" s="154"/>
      <c r="G277" s="3"/>
      <c r="H277" s="3"/>
      <c r="I277" s="74"/>
      <c r="J277" s="154"/>
      <c r="K277" s="154"/>
      <c r="L277" s="154"/>
      <c r="M277" s="74"/>
      <c r="N277" s="154"/>
      <c r="O277" s="154"/>
      <c r="P277" s="3"/>
      <c r="Q277" s="74"/>
    </row>
    <row r="278" spans="1:17" ht="21.75">
      <c r="A278" s="161">
        <v>269</v>
      </c>
      <c r="B278" s="158"/>
      <c r="C278" s="164" t="s">
        <v>414</v>
      </c>
      <c r="D278" s="158"/>
      <c r="E278" s="158"/>
      <c r="F278" s="154"/>
      <c r="G278" s="3"/>
      <c r="H278" s="3"/>
      <c r="I278" s="74"/>
      <c r="J278" s="154"/>
      <c r="K278" s="154"/>
      <c r="L278" s="154"/>
      <c r="M278" s="74"/>
      <c r="N278" s="154"/>
      <c r="O278" s="154"/>
      <c r="P278" s="3"/>
      <c r="Q278" s="74"/>
    </row>
    <row r="279" spans="1:17" ht="21.75">
      <c r="A279" s="161">
        <v>270</v>
      </c>
      <c r="B279" s="157">
        <v>4.1</v>
      </c>
      <c r="C279" s="57" t="s">
        <v>88</v>
      </c>
      <c r="D279" s="3" t="s">
        <v>6</v>
      </c>
      <c r="E279" s="3" t="s">
        <v>261</v>
      </c>
      <c r="F279" s="142"/>
      <c r="G279" s="3"/>
      <c r="H279" s="3"/>
      <c r="I279" s="74"/>
      <c r="J279" s="142"/>
      <c r="K279" s="3"/>
      <c r="L279" s="3"/>
      <c r="M279" s="74"/>
      <c r="N279" s="142"/>
      <c r="O279" s="3"/>
      <c r="P279" s="3"/>
      <c r="Q279" s="74"/>
    </row>
    <row r="280" spans="1:17" ht="42.75">
      <c r="A280" s="161">
        <v>271</v>
      </c>
      <c r="B280" s="54" t="s">
        <v>310</v>
      </c>
      <c r="C280" s="164" t="s">
        <v>415</v>
      </c>
      <c r="D280" s="54" t="s">
        <v>5</v>
      </c>
      <c r="E280" s="54" t="s">
        <v>261</v>
      </c>
      <c r="F280" s="142"/>
      <c r="G280" s="3"/>
      <c r="H280" s="3"/>
      <c r="I280" s="74"/>
      <c r="J280" s="142"/>
      <c r="K280" s="3"/>
      <c r="L280" s="3"/>
      <c r="M280" s="74"/>
      <c r="N280" s="142"/>
      <c r="O280" s="3"/>
      <c r="P280" s="3"/>
      <c r="Q280" s="74"/>
    </row>
    <row r="281" spans="1:17" ht="42.75">
      <c r="A281" s="161">
        <v>272</v>
      </c>
      <c r="B281" s="157"/>
      <c r="C281" s="164" t="s">
        <v>416</v>
      </c>
      <c r="D281" s="158"/>
      <c r="E281" s="158"/>
      <c r="F281" s="142"/>
      <c r="G281" s="3"/>
      <c r="H281" s="3"/>
      <c r="I281" s="74"/>
      <c r="J281" s="142"/>
      <c r="K281" s="3"/>
      <c r="L281" s="3"/>
      <c r="M281" s="74"/>
      <c r="N281" s="142"/>
      <c r="O281" s="3"/>
      <c r="P281" s="3"/>
      <c r="Q281" s="74"/>
    </row>
    <row r="282" spans="1:17" ht="21.75">
      <c r="A282" s="161">
        <v>273</v>
      </c>
      <c r="B282" s="331" t="s">
        <v>311</v>
      </c>
      <c r="C282" s="166" t="s">
        <v>312</v>
      </c>
      <c r="D282" s="54" t="s">
        <v>21</v>
      </c>
      <c r="E282" s="331" t="s">
        <v>255</v>
      </c>
      <c r="F282" s="67">
        <f>SUM(F283,F286)</f>
        <v>0</v>
      </c>
      <c r="G282" s="67">
        <f>SUM(G283,G286)</f>
        <v>0</v>
      </c>
      <c r="H282" s="67">
        <f aca="true" t="shared" si="22" ref="H282:Q282">SUM(H283,H286)</f>
        <v>0</v>
      </c>
      <c r="I282" s="314">
        <f t="shared" si="22"/>
        <v>0</v>
      </c>
      <c r="J282" s="178">
        <f t="shared" si="22"/>
        <v>0</v>
      </c>
      <c r="K282" s="178">
        <f t="shared" si="22"/>
        <v>0</v>
      </c>
      <c r="L282" s="178">
        <f t="shared" si="22"/>
        <v>0</v>
      </c>
      <c r="M282" s="314">
        <f t="shared" si="22"/>
        <v>0</v>
      </c>
      <c r="N282" s="178">
        <f t="shared" si="22"/>
        <v>0</v>
      </c>
      <c r="O282" s="178">
        <f t="shared" si="22"/>
        <v>0</v>
      </c>
      <c r="P282" s="67">
        <f t="shared" si="22"/>
        <v>0</v>
      </c>
      <c r="Q282" s="314">
        <f t="shared" si="22"/>
        <v>0</v>
      </c>
    </row>
    <row r="283" spans="1:17" ht="21.75">
      <c r="A283" s="161">
        <v>274</v>
      </c>
      <c r="B283" s="332"/>
      <c r="C283" s="173" t="s">
        <v>495</v>
      </c>
      <c r="D283" s="157"/>
      <c r="E283" s="332"/>
      <c r="F283" s="68">
        <f>SUM(F284:F285)</f>
        <v>0</v>
      </c>
      <c r="G283" s="68">
        <f aca="true" t="shared" si="23" ref="G283:Q283">SUM(G284:G285)</f>
        <v>0</v>
      </c>
      <c r="H283" s="68">
        <f t="shared" si="23"/>
        <v>0</v>
      </c>
      <c r="I283" s="76">
        <f t="shared" si="23"/>
        <v>0</v>
      </c>
      <c r="J283" s="68">
        <f t="shared" si="23"/>
        <v>0</v>
      </c>
      <c r="K283" s="68">
        <f t="shared" si="23"/>
        <v>0</v>
      </c>
      <c r="L283" s="68">
        <f t="shared" si="23"/>
        <v>0</v>
      </c>
      <c r="M283" s="76">
        <f t="shared" si="23"/>
        <v>0</v>
      </c>
      <c r="N283" s="68">
        <f t="shared" si="23"/>
        <v>0</v>
      </c>
      <c r="O283" s="68">
        <f t="shared" si="23"/>
        <v>0</v>
      </c>
      <c r="P283" s="68">
        <f t="shared" si="23"/>
        <v>0</v>
      </c>
      <c r="Q283" s="76">
        <f t="shared" si="23"/>
        <v>0</v>
      </c>
    </row>
    <row r="284" spans="1:17" ht="21.75">
      <c r="A284" s="161">
        <v>275</v>
      </c>
      <c r="B284" s="157"/>
      <c r="C284" s="173" t="s">
        <v>231</v>
      </c>
      <c r="D284" s="157"/>
      <c r="E284" s="332"/>
      <c r="F284" s="154"/>
      <c r="G284" s="68"/>
      <c r="H284" s="68"/>
      <c r="I284" s="76"/>
      <c r="J284" s="154"/>
      <c r="K284" s="179"/>
      <c r="L284" s="179"/>
      <c r="M284" s="76"/>
      <c r="N284" s="154"/>
      <c r="O284" s="179"/>
      <c r="P284" s="68"/>
      <c r="Q284" s="76"/>
    </row>
    <row r="285" spans="1:17" ht="23.25" customHeight="1">
      <c r="A285" s="161">
        <v>276</v>
      </c>
      <c r="B285" s="157"/>
      <c r="C285" s="173" t="s">
        <v>232</v>
      </c>
      <c r="D285" s="157"/>
      <c r="E285" s="332"/>
      <c r="F285" s="154"/>
      <c r="G285" s="68"/>
      <c r="H285" s="68"/>
      <c r="I285" s="76"/>
      <c r="J285" s="154"/>
      <c r="K285" s="179"/>
      <c r="L285" s="179"/>
      <c r="M285" s="76"/>
      <c r="N285" s="154"/>
      <c r="O285" s="179"/>
      <c r="P285" s="68"/>
      <c r="Q285" s="76"/>
    </row>
    <row r="286" spans="1:17" ht="21.75">
      <c r="A286" s="161">
        <v>277</v>
      </c>
      <c r="B286" s="158"/>
      <c r="C286" s="173" t="s">
        <v>496</v>
      </c>
      <c r="D286" s="158"/>
      <c r="E286" s="333"/>
      <c r="F286" s="154"/>
      <c r="G286" s="68"/>
      <c r="H286" s="68"/>
      <c r="I286" s="76"/>
      <c r="J286" s="154"/>
      <c r="K286" s="179"/>
      <c r="L286" s="179"/>
      <c r="M286" s="76"/>
      <c r="N286" s="154"/>
      <c r="O286" s="179"/>
      <c r="P286" s="68"/>
      <c r="Q286" s="76"/>
    </row>
    <row r="287" spans="1:17" ht="43.5">
      <c r="A287" s="161">
        <v>278</v>
      </c>
      <c r="B287" s="158"/>
      <c r="C287" s="205" t="s">
        <v>417</v>
      </c>
      <c r="D287" s="158" t="s">
        <v>5</v>
      </c>
      <c r="E287" s="158" t="s">
        <v>261</v>
      </c>
      <c r="F287" s="199"/>
      <c r="G287" s="204"/>
      <c r="H287" s="204"/>
      <c r="I287" s="212"/>
      <c r="J287" s="199"/>
      <c r="K287" s="213"/>
      <c r="L287" s="213"/>
      <c r="M287" s="212"/>
      <c r="N287" s="199"/>
      <c r="O287" s="213"/>
      <c r="P287" s="204"/>
      <c r="Q287" s="212"/>
    </row>
    <row r="288" spans="1:17" ht="43.5">
      <c r="A288" s="161">
        <v>279</v>
      </c>
      <c r="B288" s="158">
        <v>4.2</v>
      </c>
      <c r="C288" s="57" t="s">
        <v>89</v>
      </c>
      <c r="D288" s="3" t="s">
        <v>6</v>
      </c>
      <c r="E288" s="3" t="s">
        <v>261</v>
      </c>
      <c r="F288" s="142"/>
      <c r="G288" s="3"/>
      <c r="H288" s="3"/>
      <c r="I288" s="74"/>
      <c r="J288" s="142"/>
      <c r="K288" s="3"/>
      <c r="L288" s="3"/>
      <c r="M288" s="74"/>
      <c r="N288" s="142"/>
      <c r="O288" s="3"/>
      <c r="P288" s="3"/>
      <c r="Q288" s="74"/>
    </row>
    <row r="289" spans="1:17" ht="21.75" customHeight="1">
      <c r="A289" s="161">
        <v>280</v>
      </c>
      <c r="B289" s="3">
        <v>4.2</v>
      </c>
      <c r="C289" s="156" t="s">
        <v>418</v>
      </c>
      <c r="D289" s="3" t="s">
        <v>313</v>
      </c>
      <c r="E289" s="331" t="s">
        <v>382</v>
      </c>
      <c r="F289" s="154"/>
      <c r="G289" s="2"/>
      <c r="H289" s="2"/>
      <c r="I289" s="75"/>
      <c r="J289" s="154"/>
      <c r="K289" s="200"/>
      <c r="L289" s="200"/>
      <c r="M289" s="75"/>
      <c r="N289" s="154"/>
      <c r="O289" s="200"/>
      <c r="P289" s="2"/>
      <c r="Q289" s="75"/>
    </row>
    <row r="290" spans="1:17" ht="63.75">
      <c r="A290" s="161">
        <v>281</v>
      </c>
      <c r="B290" s="3" t="s">
        <v>314</v>
      </c>
      <c r="C290" s="57" t="s">
        <v>497</v>
      </c>
      <c r="D290" s="3" t="s">
        <v>313</v>
      </c>
      <c r="E290" s="332"/>
      <c r="F290" s="154"/>
      <c r="G290" s="2"/>
      <c r="H290" s="2"/>
      <c r="I290" s="75"/>
      <c r="J290" s="154"/>
      <c r="K290" s="200"/>
      <c r="L290" s="200"/>
      <c r="M290" s="75"/>
      <c r="N290" s="154"/>
      <c r="O290" s="200"/>
      <c r="P290" s="2"/>
      <c r="Q290" s="75"/>
    </row>
    <row r="291" spans="1:17" ht="42.75">
      <c r="A291" s="161">
        <v>282</v>
      </c>
      <c r="B291" s="3" t="s">
        <v>315</v>
      </c>
      <c r="C291" s="57" t="s">
        <v>498</v>
      </c>
      <c r="D291" s="3" t="s">
        <v>313</v>
      </c>
      <c r="E291" s="160"/>
      <c r="F291" s="154"/>
      <c r="G291" s="2"/>
      <c r="H291" s="2"/>
      <c r="I291" s="75"/>
      <c r="J291" s="154"/>
      <c r="K291" s="200"/>
      <c r="L291" s="200"/>
      <c r="M291" s="75"/>
      <c r="N291" s="154"/>
      <c r="O291" s="200"/>
      <c r="P291" s="2"/>
      <c r="Q291" s="75"/>
    </row>
    <row r="292" spans="1:17" ht="42.75">
      <c r="A292" s="161">
        <v>283</v>
      </c>
      <c r="B292" s="54" t="s">
        <v>316</v>
      </c>
      <c r="C292" s="205" t="s">
        <v>499</v>
      </c>
      <c r="D292" s="54" t="s">
        <v>313</v>
      </c>
      <c r="E292" s="54"/>
      <c r="F292" s="199"/>
      <c r="G292" s="158"/>
      <c r="H292" s="158"/>
      <c r="I292" s="181"/>
      <c r="J292" s="199"/>
      <c r="K292" s="199"/>
      <c r="L292" s="199"/>
      <c r="M292" s="181"/>
      <c r="N292" s="199"/>
      <c r="O292" s="199"/>
      <c r="P292" s="158"/>
      <c r="Q292" s="181"/>
    </row>
    <row r="293" spans="1:17" ht="42.75">
      <c r="A293" s="161">
        <v>284</v>
      </c>
      <c r="B293" s="157"/>
      <c r="C293" s="164" t="s">
        <v>500</v>
      </c>
      <c r="D293" s="157"/>
      <c r="E293" s="157"/>
      <c r="F293" s="154"/>
      <c r="G293" s="3"/>
      <c r="H293" s="3"/>
      <c r="I293" s="74"/>
      <c r="J293" s="154"/>
      <c r="K293" s="154"/>
      <c r="L293" s="154"/>
      <c r="M293" s="74"/>
      <c r="N293" s="154"/>
      <c r="O293" s="154"/>
      <c r="P293" s="3"/>
      <c r="Q293" s="74"/>
    </row>
    <row r="294" spans="1:17" ht="42.75">
      <c r="A294" s="161">
        <v>285</v>
      </c>
      <c r="B294" s="157"/>
      <c r="C294" s="205" t="s">
        <v>501</v>
      </c>
      <c r="D294" s="158"/>
      <c r="E294" s="158"/>
      <c r="F294" s="199"/>
      <c r="G294" s="158"/>
      <c r="H294" s="158"/>
      <c r="I294" s="181"/>
      <c r="J294" s="199"/>
      <c r="K294" s="199"/>
      <c r="L294" s="199"/>
      <c r="M294" s="181"/>
      <c r="N294" s="199"/>
      <c r="O294" s="199"/>
      <c r="P294" s="158"/>
      <c r="Q294" s="181"/>
    </row>
    <row r="295" spans="1:17" ht="21.75" customHeight="1">
      <c r="A295" s="161">
        <v>286</v>
      </c>
      <c r="B295" s="297" t="s">
        <v>317</v>
      </c>
      <c r="C295" s="270" t="s">
        <v>552</v>
      </c>
      <c r="D295" s="297" t="s">
        <v>269</v>
      </c>
      <c r="E295" s="297" t="s">
        <v>382</v>
      </c>
      <c r="F295" s="214">
        <f>SUM(F296:F301)</f>
        <v>0</v>
      </c>
      <c r="G295" s="2">
        <f>SUM(G296:G301)</f>
        <v>0</v>
      </c>
      <c r="H295" s="2">
        <f aca="true" t="shared" si="24" ref="H295:Q295">SUM(H296:H301)</f>
        <v>0</v>
      </c>
      <c r="I295" s="75">
        <f t="shared" si="24"/>
        <v>0</v>
      </c>
      <c r="J295" s="2">
        <f t="shared" si="24"/>
        <v>0</v>
      </c>
      <c r="K295" s="2">
        <f t="shared" si="24"/>
        <v>0</v>
      </c>
      <c r="L295" s="2">
        <f t="shared" si="24"/>
        <v>0</v>
      </c>
      <c r="M295" s="75">
        <f t="shared" si="24"/>
        <v>0</v>
      </c>
      <c r="N295" s="2">
        <f t="shared" si="24"/>
        <v>0</v>
      </c>
      <c r="O295" s="2">
        <f t="shared" si="24"/>
        <v>0</v>
      </c>
      <c r="P295" s="2">
        <f t="shared" si="24"/>
        <v>0</v>
      </c>
      <c r="Q295" s="75">
        <f t="shared" si="24"/>
        <v>0</v>
      </c>
    </row>
    <row r="296" spans="1:17" ht="42.75">
      <c r="A296" s="161">
        <v>287</v>
      </c>
      <c r="B296" s="298"/>
      <c r="C296" s="271" t="s">
        <v>553</v>
      </c>
      <c r="D296" s="298"/>
      <c r="E296" s="298"/>
      <c r="F296" s="201"/>
      <c r="G296" s="3"/>
      <c r="H296" s="3"/>
      <c r="I296" s="74"/>
      <c r="J296" s="154"/>
      <c r="K296" s="154"/>
      <c r="L296" s="154"/>
      <c r="M296" s="74"/>
      <c r="N296" s="154"/>
      <c r="O296" s="154"/>
      <c r="P296" s="3"/>
      <c r="Q296" s="74"/>
    </row>
    <row r="297" spans="1:17" ht="42.75">
      <c r="A297" s="161">
        <v>288</v>
      </c>
      <c r="B297" s="298"/>
      <c r="C297" s="271" t="s">
        <v>554</v>
      </c>
      <c r="D297" s="298"/>
      <c r="E297" s="298"/>
      <c r="F297" s="201"/>
      <c r="G297" s="3"/>
      <c r="H297" s="3"/>
      <c r="I297" s="74"/>
      <c r="J297" s="154"/>
      <c r="K297" s="154"/>
      <c r="L297" s="154"/>
      <c r="M297" s="74"/>
      <c r="N297" s="154"/>
      <c r="O297" s="154"/>
      <c r="P297" s="3"/>
      <c r="Q297" s="74"/>
    </row>
    <row r="298" spans="1:17" ht="42.75">
      <c r="A298" s="161">
        <v>289</v>
      </c>
      <c r="B298" s="298"/>
      <c r="C298" s="272" t="s">
        <v>555</v>
      </c>
      <c r="D298" s="298"/>
      <c r="E298" s="298"/>
      <c r="F298" s="202"/>
      <c r="G298" s="158"/>
      <c r="H298" s="158"/>
      <c r="I298" s="181"/>
      <c r="J298" s="199"/>
      <c r="K298" s="199"/>
      <c r="L298" s="199"/>
      <c r="M298" s="181"/>
      <c r="N298" s="199"/>
      <c r="O298" s="199"/>
      <c r="P298" s="158"/>
      <c r="Q298" s="181"/>
    </row>
    <row r="299" spans="1:17" ht="42.75">
      <c r="A299" s="161">
        <v>290</v>
      </c>
      <c r="B299" s="298"/>
      <c r="C299" s="271" t="s">
        <v>556</v>
      </c>
      <c r="D299" s="298"/>
      <c r="E299" s="298"/>
      <c r="F299" s="201"/>
      <c r="G299" s="3"/>
      <c r="H299" s="3"/>
      <c r="I299" s="74"/>
      <c r="J299" s="154"/>
      <c r="K299" s="154"/>
      <c r="L299" s="154"/>
      <c r="M299" s="74"/>
      <c r="N299" s="154"/>
      <c r="O299" s="154"/>
      <c r="P299" s="3"/>
      <c r="Q299" s="74"/>
    </row>
    <row r="300" spans="1:17" ht="42.75">
      <c r="A300" s="161">
        <v>291</v>
      </c>
      <c r="B300" s="298"/>
      <c r="C300" s="271" t="s">
        <v>557</v>
      </c>
      <c r="D300" s="298"/>
      <c r="E300" s="298"/>
      <c r="F300" s="201"/>
      <c r="G300" s="3"/>
      <c r="H300" s="3"/>
      <c r="I300" s="74"/>
      <c r="J300" s="154"/>
      <c r="K300" s="154"/>
      <c r="L300" s="154"/>
      <c r="M300" s="74"/>
      <c r="N300" s="154"/>
      <c r="O300" s="154"/>
      <c r="P300" s="3"/>
      <c r="Q300" s="74"/>
    </row>
    <row r="301" spans="1:17" ht="42.75">
      <c r="A301" s="161">
        <v>292</v>
      </c>
      <c r="B301" s="299"/>
      <c r="C301" s="272" t="s">
        <v>558</v>
      </c>
      <c r="D301" s="299"/>
      <c r="E301" s="299"/>
      <c r="F301" s="202"/>
      <c r="G301" s="158"/>
      <c r="H301" s="158"/>
      <c r="I301" s="181"/>
      <c r="J301" s="199"/>
      <c r="K301" s="199"/>
      <c r="L301" s="199"/>
      <c r="M301" s="181"/>
      <c r="N301" s="199"/>
      <c r="O301" s="199"/>
      <c r="P301" s="158"/>
      <c r="Q301" s="181"/>
    </row>
    <row r="302" spans="1:17" ht="21.75">
      <c r="A302" s="161">
        <v>293</v>
      </c>
      <c r="B302" s="265" t="s">
        <v>317</v>
      </c>
      <c r="C302" s="269" t="s">
        <v>546</v>
      </c>
      <c r="D302" s="265" t="s">
        <v>269</v>
      </c>
      <c r="E302" s="329" t="s">
        <v>382</v>
      </c>
      <c r="F302" s="2">
        <f>SUM(F303:F307)</f>
        <v>0</v>
      </c>
      <c r="G302" s="2">
        <f aca="true" t="shared" si="25" ref="G302:Q302">SUM(G303:G307)</f>
        <v>0</v>
      </c>
      <c r="H302" s="2">
        <f t="shared" si="25"/>
        <v>0</v>
      </c>
      <c r="I302" s="75">
        <f t="shared" si="25"/>
        <v>0</v>
      </c>
      <c r="J302" s="2">
        <f t="shared" si="25"/>
        <v>0</v>
      </c>
      <c r="K302" s="2">
        <f t="shared" si="25"/>
        <v>0</v>
      </c>
      <c r="L302" s="2">
        <f t="shared" si="25"/>
        <v>0</v>
      </c>
      <c r="M302" s="75">
        <f t="shared" si="25"/>
        <v>0</v>
      </c>
      <c r="N302" s="2">
        <f t="shared" si="25"/>
        <v>0</v>
      </c>
      <c r="O302" s="2">
        <f t="shared" si="25"/>
        <v>0</v>
      </c>
      <c r="P302" s="2">
        <f t="shared" si="25"/>
        <v>0</v>
      </c>
      <c r="Q302" s="75">
        <f t="shared" si="25"/>
        <v>0</v>
      </c>
    </row>
    <row r="303" spans="1:17" ht="65.25">
      <c r="A303" s="161">
        <v>294</v>
      </c>
      <c r="B303" s="265"/>
      <c r="C303" s="267" t="s">
        <v>547</v>
      </c>
      <c r="D303" s="265"/>
      <c r="E303" s="330"/>
      <c r="F303" s="154"/>
      <c r="G303" s="3"/>
      <c r="H303" s="3"/>
      <c r="I303" s="74"/>
      <c r="J303" s="154"/>
      <c r="K303" s="154"/>
      <c r="L303" s="154"/>
      <c r="M303" s="74"/>
      <c r="N303" s="154"/>
      <c r="O303" s="154"/>
      <c r="P303" s="3"/>
      <c r="Q303" s="74"/>
    </row>
    <row r="304" spans="1:17" ht="65.25">
      <c r="A304" s="161">
        <v>295</v>
      </c>
      <c r="B304" s="265"/>
      <c r="C304" s="267" t="s">
        <v>548</v>
      </c>
      <c r="D304" s="265"/>
      <c r="E304" s="330"/>
      <c r="F304" s="154"/>
      <c r="G304" s="3"/>
      <c r="H304" s="3"/>
      <c r="I304" s="74"/>
      <c r="J304" s="154"/>
      <c r="K304" s="154"/>
      <c r="L304" s="154"/>
      <c r="M304" s="74"/>
      <c r="N304" s="154"/>
      <c r="O304" s="154"/>
      <c r="P304" s="3"/>
      <c r="Q304" s="74"/>
    </row>
    <row r="305" spans="1:17" ht="65.25">
      <c r="A305" s="161">
        <v>296</v>
      </c>
      <c r="B305" s="299"/>
      <c r="C305" s="267" t="s">
        <v>549</v>
      </c>
      <c r="D305" s="299"/>
      <c r="E305" s="299"/>
      <c r="F305" s="154"/>
      <c r="G305" s="3"/>
      <c r="H305" s="3"/>
      <c r="I305" s="74"/>
      <c r="J305" s="154"/>
      <c r="K305" s="154"/>
      <c r="L305" s="154"/>
      <c r="M305" s="74"/>
      <c r="N305" s="154"/>
      <c r="O305" s="154"/>
      <c r="P305" s="3"/>
      <c r="Q305" s="74"/>
    </row>
    <row r="306" spans="1:17" ht="65.25">
      <c r="A306" s="169">
        <v>297</v>
      </c>
      <c r="B306" s="282"/>
      <c r="C306" s="268" t="s">
        <v>550</v>
      </c>
      <c r="D306" s="282"/>
      <c r="E306" s="282"/>
      <c r="F306" s="199"/>
      <c r="G306" s="158"/>
      <c r="H306" s="158"/>
      <c r="I306" s="181"/>
      <c r="J306" s="199"/>
      <c r="K306" s="199"/>
      <c r="L306" s="199"/>
      <c r="M306" s="181"/>
      <c r="N306" s="199"/>
      <c r="O306" s="199"/>
      <c r="P306" s="158"/>
      <c r="Q306" s="181"/>
    </row>
    <row r="307" spans="1:17" ht="65.25">
      <c r="A307" s="161">
        <v>298</v>
      </c>
      <c r="B307" s="265"/>
      <c r="C307" s="268" t="s">
        <v>551</v>
      </c>
      <c r="D307" s="256"/>
      <c r="E307" s="256"/>
      <c r="F307" s="199"/>
      <c r="G307" s="158"/>
      <c r="H307" s="158"/>
      <c r="I307" s="181"/>
      <c r="J307" s="199"/>
      <c r="K307" s="199"/>
      <c r="L307" s="199"/>
      <c r="M307" s="181"/>
      <c r="N307" s="199"/>
      <c r="O307" s="199"/>
      <c r="P307" s="158"/>
      <c r="Q307" s="181"/>
    </row>
    <row r="308" spans="1:17" ht="42.75">
      <c r="A308" s="161">
        <v>299</v>
      </c>
      <c r="B308" s="257" t="s">
        <v>318</v>
      </c>
      <c r="C308" s="266" t="s">
        <v>536</v>
      </c>
      <c r="D308" s="257" t="s">
        <v>269</v>
      </c>
      <c r="E308" s="329" t="s">
        <v>382</v>
      </c>
      <c r="F308" s="2">
        <f>SUM(F309:F312)</f>
        <v>0</v>
      </c>
      <c r="G308" s="2">
        <f aca="true" t="shared" si="26" ref="G308:Q308">SUM(G309:G312)</f>
        <v>0</v>
      </c>
      <c r="H308" s="2">
        <f t="shared" si="26"/>
        <v>0</v>
      </c>
      <c r="I308" s="75">
        <f t="shared" si="26"/>
        <v>0</v>
      </c>
      <c r="J308" s="2">
        <f t="shared" si="26"/>
        <v>0</v>
      </c>
      <c r="K308" s="2">
        <f t="shared" si="26"/>
        <v>0</v>
      </c>
      <c r="L308" s="2">
        <f t="shared" si="26"/>
        <v>0</v>
      </c>
      <c r="M308" s="75">
        <f t="shared" si="26"/>
        <v>0</v>
      </c>
      <c r="N308" s="2">
        <f t="shared" si="26"/>
        <v>0</v>
      </c>
      <c r="O308" s="2">
        <f t="shared" si="26"/>
        <v>0</v>
      </c>
      <c r="P308" s="2">
        <f t="shared" si="26"/>
        <v>0</v>
      </c>
      <c r="Q308" s="75">
        <f t="shared" si="26"/>
        <v>0</v>
      </c>
    </row>
    <row r="309" spans="1:17" ht="21.75">
      <c r="A309" s="161">
        <v>300</v>
      </c>
      <c r="B309" s="265"/>
      <c r="C309" s="267" t="s">
        <v>537</v>
      </c>
      <c r="D309" s="265"/>
      <c r="E309" s="330"/>
      <c r="F309" s="154"/>
      <c r="G309" s="3"/>
      <c r="H309" s="3"/>
      <c r="I309" s="74"/>
      <c r="J309" s="154"/>
      <c r="K309" s="154"/>
      <c r="L309" s="154"/>
      <c r="M309" s="74"/>
      <c r="N309" s="154"/>
      <c r="O309" s="154"/>
      <c r="P309" s="154"/>
      <c r="Q309" s="74"/>
    </row>
    <row r="310" spans="1:17" ht="21.75">
      <c r="A310" s="161">
        <v>301</v>
      </c>
      <c r="B310" s="265"/>
      <c r="C310" s="268" t="s">
        <v>538</v>
      </c>
      <c r="D310" s="265"/>
      <c r="E310" s="265"/>
      <c r="F310" s="199"/>
      <c r="G310" s="158"/>
      <c r="H310" s="158"/>
      <c r="I310" s="181"/>
      <c r="J310" s="199"/>
      <c r="K310" s="199"/>
      <c r="L310" s="199"/>
      <c r="M310" s="181"/>
      <c r="N310" s="199"/>
      <c r="O310" s="199"/>
      <c r="P310" s="199"/>
      <c r="Q310" s="181"/>
    </row>
    <row r="311" spans="1:17" ht="42.75">
      <c r="A311" s="161">
        <v>302</v>
      </c>
      <c r="B311" s="265"/>
      <c r="C311" s="267" t="s">
        <v>539</v>
      </c>
      <c r="D311" s="265"/>
      <c r="E311" s="265"/>
      <c r="F311" s="154"/>
      <c r="G311" s="3"/>
      <c r="H311" s="3"/>
      <c r="I311" s="74"/>
      <c r="J311" s="154"/>
      <c r="K311" s="154"/>
      <c r="L311" s="154"/>
      <c r="M311" s="74"/>
      <c r="N311" s="154"/>
      <c r="O311" s="154"/>
      <c r="P311" s="154"/>
      <c r="Q311" s="74"/>
    </row>
    <row r="312" spans="1:17" ht="21.75">
      <c r="A312" s="161">
        <v>303</v>
      </c>
      <c r="B312" s="281"/>
      <c r="C312" s="267" t="s">
        <v>540</v>
      </c>
      <c r="D312" s="256"/>
      <c r="E312" s="256"/>
      <c r="F312" s="154"/>
      <c r="G312" s="3"/>
      <c r="H312" s="3"/>
      <c r="I312" s="74"/>
      <c r="J312" s="154"/>
      <c r="K312" s="154"/>
      <c r="L312" s="154"/>
      <c r="M312" s="74"/>
      <c r="N312" s="154"/>
      <c r="O312" s="154"/>
      <c r="P312" s="154"/>
      <c r="Q312" s="74"/>
    </row>
    <row r="313" spans="1:17" ht="42.75">
      <c r="A313" s="161">
        <v>304</v>
      </c>
      <c r="B313" s="280" t="s">
        <v>318</v>
      </c>
      <c r="C313" s="266" t="s">
        <v>541</v>
      </c>
      <c r="D313" s="280" t="s">
        <v>269</v>
      </c>
      <c r="E313" s="329" t="s">
        <v>382</v>
      </c>
      <c r="F313" s="2">
        <f>SUM(F314:F317)</f>
        <v>0</v>
      </c>
      <c r="G313" s="2">
        <f aca="true" t="shared" si="27" ref="G313:Q313">SUM(G314:G317)</f>
        <v>0</v>
      </c>
      <c r="H313" s="2">
        <f t="shared" si="27"/>
        <v>0</v>
      </c>
      <c r="I313" s="75">
        <f t="shared" si="27"/>
        <v>0</v>
      </c>
      <c r="J313" s="2">
        <f t="shared" si="27"/>
        <v>0</v>
      </c>
      <c r="K313" s="2">
        <f t="shared" si="27"/>
        <v>0</v>
      </c>
      <c r="L313" s="2">
        <f t="shared" si="27"/>
        <v>0</v>
      </c>
      <c r="M313" s="75">
        <f t="shared" si="27"/>
        <v>0</v>
      </c>
      <c r="N313" s="2">
        <f t="shared" si="27"/>
        <v>0</v>
      </c>
      <c r="O313" s="2">
        <f t="shared" si="27"/>
        <v>0</v>
      </c>
      <c r="P313" s="2">
        <f t="shared" si="27"/>
        <v>0</v>
      </c>
      <c r="Q313" s="75">
        <f t="shared" si="27"/>
        <v>0</v>
      </c>
    </row>
    <row r="314" spans="1:17" ht="24.75" customHeight="1">
      <c r="A314" s="161">
        <v>305</v>
      </c>
      <c r="B314" s="281"/>
      <c r="C314" s="268" t="s">
        <v>542</v>
      </c>
      <c r="D314" s="281"/>
      <c r="E314" s="330"/>
      <c r="F314" s="199"/>
      <c r="G314" s="158"/>
      <c r="H314" s="158"/>
      <c r="I314" s="181"/>
      <c r="J314" s="199"/>
      <c r="K314" s="199"/>
      <c r="L314" s="199"/>
      <c r="M314" s="181"/>
      <c r="N314" s="199"/>
      <c r="O314" s="158"/>
      <c r="P314" s="158"/>
      <c r="Q314" s="181"/>
    </row>
    <row r="315" spans="1:17" ht="42.75">
      <c r="A315" s="161">
        <v>306</v>
      </c>
      <c r="B315" s="281"/>
      <c r="C315" s="267" t="s">
        <v>543</v>
      </c>
      <c r="D315" s="281"/>
      <c r="E315" s="281"/>
      <c r="F315" s="154"/>
      <c r="G315" s="3"/>
      <c r="H315" s="3"/>
      <c r="I315" s="74"/>
      <c r="J315" s="154"/>
      <c r="K315" s="154"/>
      <c r="L315" s="154"/>
      <c r="M315" s="74"/>
      <c r="N315" s="154"/>
      <c r="O315" s="3"/>
      <c r="P315" s="3"/>
      <c r="Q315" s="74"/>
    </row>
    <row r="316" spans="1:17" ht="42.75">
      <c r="A316" s="161">
        <v>307</v>
      </c>
      <c r="B316" s="281"/>
      <c r="C316" s="267" t="s">
        <v>544</v>
      </c>
      <c r="D316" s="281"/>
      <c r="E316" s="281"/>
      <c r="F316" s="154"/>
      <c r="G316" s="3"/>
      <c r="H316" s="3"/>
      <c r="I316" s="74"/>
      <c r="J316" s="154"/>
      <c r="K316" s="154"/>
      <c r="L316" s="154"/>
      <c r="M316" s="74"/>
      <c r="N316" s="154"/>
      <c r="O316" s="3"/>
      <c r="P316" s="3"/>
      <c r="Q316" s="74"/>
    </row>
    <row r="317" spans="1:17" ht="21.75" customHeight="1">
      <c r="A317" s="161">
        <v>308</v>
      </c>
      <c r="B317" s="282"/>
      <c r="C317" s="267" t="s">
        <v>545</v>
      </c>
      <c r="D317" s="282"/>
      <c r="E317" s="282"/>
      <c r="F317" s="154"/>
      <c r="G317" s="3"/>
      <c r="H317" s="3"/>
      <c r="I317" s="74"/>
      <c r="J317" s="154"/>
      <c r="K317" s="154"/>
      <c r="L317" s="154"/>
      <c r="M317" s="74"/>
      <c r="N317" s="154"/>
      <c r="O317" s="3"/>
      <c r="P317" s="3"/>
      <c r="Q317" s="74"/>
    </row>
    <row r="318" spans="1:17" ht="21.75">
      <c r="A318" s="161">
        <v>309</v>
      </c>
      <c r="B318" s="281" t="s">
        <v>319</v>
      </c>
      <c r="C318" s="266" t="s">
        <v>533</v>
      </c>
      <c r="D318" s="257" t="s">
        <v>269</v>
      </c>
      <c r="E318" s="329" t="s">
        <v>382</v>
      </c>
      <c r="F318" s="154"/>
      <c r="G318" s="3"/>
      <c r="H318" s="3"/>
      <c r="I318" s="74"/>
      <c r="J318" s="154"/>
      <c r="K318" s="154"/>
      <c r="L318" s="154"/>
      <c r="M318" s="74"/>
      <c r="N318" s="154"/>
      <c r="O318" s="154"/>
      <c r="P318" s="3"/>
      <c r="Q318" s="74"/>
    </row>
    <row r="319" spans="1:17" ht="43.5">
      <c r="A319" s="161">
        <v>310</v>
      </c>
      <c r="B319" s="265"/>
      <c r="C319" s="267" t="s">
        <v>534</v>
      </c>
      <c r="D319" s="265"/>
      <c r="E319" s="330"/>
      <c r="F319" s="154"/>
      <c r="G319" s="3"/>
      <c r="H319" s="3"/>
      <c r="I319" s="74"/>
      <c r="J319" s="154"/>
      <c r="K319" s="154"/>
      <c r="L319" s="154"/>
      <c r="M319" s="74"/>
      <c r="N319" s="154"/>
      <c r="O319" s="154"/>
      <c r="P319" s="3"/>
      <c r="Q319" s="74"/>
    </row>
    <row r="320" spans="1:17" ht="43.5">
      <c r="A320" s="161">
        <v>311</v>
      </c>
      <c r="B320" s="265"/>
      <c r="C320" s="267" t="s">
        <v>535</v>
      </c>
      <c r="D320" s="265"/>
      <c r="E320" s="330"/>
      <c r="F320" s="154"/>
      <c r="G320" s="3"/>
      <c r="H320" s="3"/>
      <c r="I320" s="74"/>
      <c r="J320" s="154"/>
      <c r="K320" s="154"/>
      <c r="L320" s="154"/>
      <c r="M320" s="74"/>
      <c r="N320" s="154"/>
      <c r="O320" s="154"/>
      <c r="P320" s="3"/>
      <c r="Q320" s="74"/>
    </row>
    <row r="321" spans="1:17" ht="21.75">
      <c r="A321" s="161">
        <v>312</v>
      </c>
      <c r="B321" s="299"/>
      <c r="C321" s="267" t="s">
        <v>320</v>
      </c>
      <c r="D321" s="299"/>
      <c r="E321" s="299"/>
      <c r="F321" s="154"/>
      <c r="G321" s="3"/>
      <c r="H321" s="3"/>
      <c r="I321" s="74"/>
      <c r="J321" s="154"/>
      <c r="K321" s="154"/>
      <c r="L321" s="154"/>
      <c r="M321" s="74"/>
      <c r="N321" s="154"/>
      <c r="O321" s="154"/>
      <c r="P321" s="3"/>
      <c r="Q321" s="74"/>
    </row>
    <row r="322" spans="1:17" ht="87">
      <c r="A322" s="161">
        <v>313</v>
      </c>
      <c r="B322" s="282"/>
      <c r="C322" s="268" t="s">
        <v>321</v>
      </c>
      <c r="D322" s="282"/>
      <c r="E322" s="282"/>
      <c r="F322" s="199"/>
      <c r="G322" s="158"/>
      <c r="H322" s="158"/>
      <c r="I322" s="181"/>
      <c r="J322" s="199"/>
      <c r="K322" s="199"/>
      <c r="L322" s="199"/>
      <c r="M322" s="181"/>
      <c r="N322" s="199"/>
      <c r="O322" s="199"/>
      <c r="P322" s="158"/>
      <c r="Q322" s="181"/>
    </row>
    <row r="323" spans="1:17" ht="65.25">
      <c r="A323" s="161">
        <v>314</v>
      </c>
      <c r="B323" s="158"/>
      <c r="C323" s="211" t="s">
        <v>384</v>
      </c>
      <c r="D323" s="158" t="s">
        <v>313</v>
      </c>
      <c r="E323" s="157" t="s">
        <v>382</v>
      </c>
      <c r="F323" s="199"/>
      <c r="G323" s="158"/>
      <c r="H323" s="158"/>
      <c r="I323" s="181"/>
      <c r="J323" s="199"/>
      <c r="K323" s="199"/>
      <c r="L323" s="199"/>
      <c r="M323" s="181"/>
      <c r="N323" s="199"/>
      <c r="O323" s="199"/>
      <c r="P323" s="158"/>
      <c r="Q323" s="181"/>
    </row>
    <row r="324" spans="1:17" ht="43.5">
      <c r="A324" s="161">
        <v>315</v>
      </c>
      <c r="B324" s="54"/>
      <c r="C324" s="57" t="s">
        <v>385</v>
      </c>
      <c r="D324" s="54" t="s">
        <v>5</v>
      </c>
      <c r="E324" s="54" t="s">
        <v>261</v>
      </c>
      <c r="F324" s="201"/>
      <c r="G324" s="3"/>
      <c r="H324" s="3"/>
      <c r="I324" s="74"/>
      <c r="J324" s="154"/>
      <c r="K324" s="154"/>
      <c r="L324" s="154"/>
      <c r="M324" s="74"/>
      <c r="N324" s="154"/>
      <c r="O324" s="154"/>
      <c r="P324" s="3"/>
      <c r="Q324" s="74"/>
    </row>
    <row r="325" spans="1:17" ht="21.75">
      <c r="A325" s="161">
        <v>316</v>
      </c>
      <c r="B325" s="157"/>
      <c r="C325" s="58" t="s">
        <v>177</v>
      </c>
      <c r="D325" s="157"/>
      <c r="E325" s="157"/>
      <c r="F325" s="201"/>
      <c r="G325" s="3"/>
      <c r="H325" s="3"/>
      <c r="I325" s="74"/>
      <c r="J325" s="154"/>
      <c r="K325" s="154"/>
      <c r="L325" s="154"/>
      <c r="M325" s="74"/>
      <c r="N325" s="154"/>
      <c r="O325" s="154"/>
      <c r="P325" s="3"/>
      <c r="Q325" s="74"/>
    </row>
    <row r="326" spans="1:17" ht="21.75">
      <c r="A326" s="161">
        <v>317</v>
      </c>
      <c r="B326" s="158"/>
      <c r="C326" s="58" t="s">
        <v>178</v>
      </c>
      <c r="D326" s="158"/>
      <c r="E326" s="158"/>
      <c r="F326" s="201"/>
      <c r="G326" s="3"/>
      <c r="H326" s="3"/>
      <c r="I326" s="74"/>
      <c r="J326" s="154"/>
      <c r="K326" s="154"/>
      <c r="L326" s="154"/>
      <c r="M326" s="74"/>
      <c r="N326" s="154"/>
      <c r="O326" s="154"/>
      <c r="P326" s="3"/>
      <c r="Q326" s="74"/>
    </row>
    <row r="327" spans="1:17" ht="21.75">
      <c r="A327" s="18"/>
      <c r="B327" s="18"/>
      <c r="C327" s="55" t="s">
        <v>76</v>
      </c>
      <c r="D327" s="17"/>
      <c r="E327" s="193"/>
      <c r="F327" s="144"/>
      <c r="G327" s="18"/>
      <c r="H327" s="18"/>
      <c r="I327" s="74"/>
      <c r="J327" s="144"/>
      <c r="K327" s="18"/>
      <c r="L327" s="18"/>
      <c r="M327" s="74"/>
      <c r="N327" s="144"/>
      <c r="O327" s="18"/>
      <c r="P327" s="18"/>
      <c r="Q327" s="74"/>
    </row>
    <row r="328" spans="1:17" ht="21.75">
      <c r="A328" s="3">
        <v>318</v>
      </c>
      <c r="B328" s="3">
        <v>5.1</v>
      </c>
      <c r="C328" s="57" t="s">
        <v>90</v>
      </c>
      <c r="D328" s="162" t="s">
        <v>6</v>
      </c>
      <c r="E328" s="54" t="s">
        <v>261</v>
      </c>
      <c r="F328" s="163"/>
      <c r="G328" s="3"/>
      <c r="H328" s="3"/>
      <c r="I328" s="74"/>
      <c r="J328" s="142"/>
      <c r="K328" s="3"/>
      <c r="L328" s="3"/>
      <c r="M328" s="74"/>
      <c r="N328" s="142"/>
      <c r="O328" s="3"/>
      <c r="P328" s="3"/>
      <c r="Q328" s="74"/>
    </row>
    <row r="329" spans="1:17" ht="21.75">
      <c r="A329" s="3">
        <v>319</v>
      </c>
      <c r="B329" s="54">
        <v>5.1</v>
      </c>
      <c r="C329" s="190" t="s">
        <v>419</v>
      </c>
      <c r="D329" s="54" t="s">
        <v>103</v>
      </c>
      <c r="E329" s="215"/>
      <c r="F329" s="3"/>
      <c r="G329" s="3"/>
      <c r="H329" s="3"/>
      <c r="I329" s="74"/>
      <c r="J329" s="142"/>
      <c r="K329" s="3"/>
      <c r="L329" s="3"/>
      <c r="M329" s="74"/>
      <c r="N329" s="142"/>
      <c r="O329" s="3"/>
      <c r="P329" s="3"/>
      <c r="Q329" s="74"/>
    </row>
    <row r="330" spans="1:17" ht="42.75">
      <c r="A330" s="3">
        <v>320</v>
      </c>
      <c r="B330" s="3" t="s">
        <v>323</v>
      </c>
      <c r="C330" s="175" t="s">
        <v>420</v>
      </c>
      <c r="D330" s="158"/>
      <c r="E330" s="216"/>
      <c r="F330" s="3"/>
      <c r="G330" s="3"/>
      <c r="H330" s="3"/>
      <c r="I330" s="74"/>
      <c r="J330" s="142"/>
      <c r="K330" s="3"/>
      <c r="L330" s="3"/>
      <c r="M330" s="74"/>
      <c r="N330" s="142"/>
      <c r="O330" s="3"/>
      <c r="P330" s="3"/>
      <c r="Q330" s="74"/>
    </row>
    <row r="331" spans="1:17" ht="21.75">
      <c r="A331" s="3">
        <v>321</v>
      </c>
      <c r="B331" s="158" t="s">
        <v>324</v>
      </c>
      <c r="C331" s="203" t="s">
        <v>421</v>
      </c>
      <c r="D331" s="157"/>
      <c r="E331" s="215"/>
      <c r="F331" s="158"/>
      <c r="G331" s="158"/>
      <c r="H331" s="158"/>
      <c r="I331" s="181"/>
      <c r="J331" s="182"/>
      <c r="K331" s="158"/>
      <c r="L331" s="158"/>
      <c r="M331" s="181"/>
      <c r="N331" s="182"/>
      <c r="O331" s="158"/>
      <c r="P331" s="158"/>
      <c r="Q331" s="181"/>
    </row>
    <row r="332" spans="1:17" ht="42.75">
      <c r="A332" s="3">
        <v>322</v>
      </c>
      <c r="B332" s="157" t="s">
        <v>322</v>
      </c>
      <c r="C332" s="175" t="s">
        <v>422</v>
      </c>
      <c r="D332" s="157"/>
      <c r="E332" s="215"/>
      <c r="F332" s="3"/>
      <c r="G332" s="3"/>
      <c r="H332" s="3"/>
      <c r="I332" s="74"/>
      <c r="J332" s="142"/>
      <c r="K332" s="3"/>
      <c r="L332" s="3"/>
      <c r="M332" s="74"/>
      <c r="N332" s="142"/>
      <c r="O332" s="3"/>
      <c r="P332" s="3"/>
      <c r="Q332" s="74"/>
    </row>
    <row r="333" spans="1:17" ht="42.75">
      <c r="A333" s="3">
        <v>323</v>
      </c>
      <c r="B333" s="157"/>
      <c r="C333" s="175" t="s">
        <v>423</v>
      </c>
      <c r="D333" s="157"/>
      <c r="E333" s="215"/>
      <c r="F333" s="3"/>
      <c r="G333" s="3"/>
      <c r="H333" s="3"/>
      <c r="I333" s="74"/>
      <c r="J333" s="142"/>
      <c r="K333" s="3"/>
      <c r="L333" s="3"/>
      <c r="M333" s="74"/>
      <c r="N333" s="142"/>
      <c r="O333" s="3"/>
      <c r="P333" s="3"/>
      <c r="Q333" s="74"/>
    </row>
    <row r="334" spans="1:17" ht="42.75">
      <c r="A334" s="3">
        <v>324</v>
      </c>
      <c r="B334" s="157"/>
      <c r="C334" s="175" t="s">
        <v>424</v>
      </c>
      <c r="D334" s="157"/>
      <c r="E334" s="215"/>
      <c r="F334" s="3"/>
      <c r="G334" s="3"/>
      <c r="H334" s="3"/>
      <c r="I334" s="74"/>
      <c r="J334" s="142"/>
      <c r="K334" s="3"/>
      <c r="L334" s="3"/>
      <c r="M334" s="74"/>
      <c r="N334" s="142"/>
      <c r="O334" s="3"/>
      <c r="P334" s="3"/>
      <c r="Q334" s="74"/>
    </row>
    <row r="335" spans="1:17" ht="42.75">
      <c r="A335" s="3">
        <v>325</v>
      </c>
      <c r="B335" s="158"/>
      <c r="C335" s="175" t="s">
        <v>425</v>
      </c>
      <c r="D335" s="158"/>
      <c r="E335" s="216"/>
      <c r="F335" s="3"/>
      <c r="G335" s="3"/>
      <c r="H335" s="3"/>
      <c r="I335" s="74"/>
      <c r="J335" s="142"/>
      <c r="K335" s="3"/>
      <c r="L335" s="3"/>
      <c r="M335" s="74"/>
      <c r="N335" s="142"/>
      <c r="O335" s="3"/>
      <c r="P335" s="3"/>
      <c r="Q335" s="74"/>
    </row>
    <row r="336" spans="1:17" ht="21.75">
      <c r="A336" s="3">
        <v>326</v>
      </c>
      <c r="B336" s="158">
        <v>5.2</v>
      </c>
      <c r="C336" s="57" t="s">
        <v>91</v>
      </c>
      <c r="D336" s="158" t="s">
        <v>6</v>
      </c>
      <c r="E336" s="158" t="s">
        <v>261</v>
      </c>
      <c r="F336" s="142"/>
      <c r="G336" s="3"/>
      <c r="H336" s="3"/>
      <c r="I336" s="74"/>
      <c r="J336" s="142"/>
      <c r="K336" s="3"/>
      <c r="L336" s="3"/>
      <c r="M336" s="74"/>
      <c r="N336" s="142"/>
      <c r="O336" s="3"/>
      <c r="P336" s="3"/>
      <c r="Q336" s="74"/>
    </row>
    <row r="337" spans="1:17" ht="21.75">
      <c r="A337" s="3">
        <v>327</v>
      </c>
      <c r="B337" s="3" t="s">
        <v>325</v>
      </c>
      <c r="C337" s="57" t="s">
        <v>426</v>
      </c>
      <c r="D337" s="3" t="s">
        <v>103</v>
      </c>
      <c r="E337" s="3" t="s">
        <v>261</v>
      </c>
      <c r="F337" s="142"/>
      <c r="G337" s="3"/>
      <c r="H337" s="3"/>
      <c r="I337" s="74"/>
      <c r="J337" s="142"/>
      <c r="K337" s="3"/>
      <c r="L337" s="3"/>
      <c r="M337" s="74"/>
      <c r="N337" s="142"/>
      <c r="O337" s="3"/>
      <c r="P337" s="3"/>
      <c r="Q337" s="74"/>
    </row>
    <row r="338" spans="1:17" ht="65.25">
      <c r="A338" s="3">
        <v>328</v>
      </c>
      <c r="B338" s="3" t="s">
        <v>326</v>
      </c>
      <c r="C338" s="57" t="s">
        <v>427</v>
      </c>
      <c r="D338" s="3" t="s">
        <v>103</v>
      </c>
      <c r="E338" s="3" t="s">
        <v>261</v>
      </c>
      <c r="F338" s="142"/>
      <c r="G338" s="3"/>
      <c r="H338" s="3"/>
      <c r="I338" s="74"/>
      <c r="J338" s="142"/>
      <c r="K338" s="3"/>
      <c r="L338" s="3"/>
      <c r="M338" s="74"/>
      <c r="N338" s="142"/>
      <c r="O338" s="3"/>
      <c r="P338" s="3"/>
      <c r="Q338" s="74"/>
    </row>
    <row r="339" spans="1:17" ht="56.25">
      <c r="A339" s="3">
        <v>329</v>
      </c>
      <c r="B339" s="3"/>
      <c r="C339" s="57" t="s">
        <v>428</v>
      </c>
      <c r="D339" s="217" t="s">
        <v>282</v>
      </c>
      <c r="E339" s="3" t="s">
        <v>261</v>
      </c>
      <c r="F339" s="142"/>
      <c r="G339" s="3"/>
      <c r="H339" s="3"/>
      <c r="I339" s="74"/>
      <c r="J339" s="142"/>
      <c r="K339" s="3"/>
      <c r="L339" s="3"/>
      <c r="M339" s="74"/>
      <c r="N339" s="142"/>
      <c r="O339" s="3"/>
      <c r="P339" s="3"/>
      <c r="Q339" s="74"/>
    </row>
    <row r="340" spans="1:17" ht="65.25">
      <c r="A340" s="3">
        <v>330</v>
      </c>
      <c r="B340" s="3"/>
      <c r="C340" s="57" t="s">
        <v>429</v>
      </c>
      <c r="D340" s="3" t="s">
        <v>5</v>
      </c>
      <c r="E340" s="3" t="s">
        <v>261</v>
      </c>
      <c r="F340" s="142"/>
      <c r="G340" s="3"/>
      <c r="H340" s="3"/>
      <c r="I340" s="74"/>
      <c r="J340" s="142"/>
      <c r="K340" s="3"/>
      <c r="L340" s="3"/>
      <c r="M340" s="74"/>
      <c r="N340" s="142"/>
      <c r="O340" s="3"/>
      <c r="P340" s="3"/>
      <c r="Q340" s="74"/>
    </row>
    <row r="341" spans="1:17" ht="43.5">
      <c r="A341" s="3">
        <v>331</v>
      </c>
      <c r="B341" s="254" t="s">
        <v>327</v>
      </c>
      <c r="C341" s="255" t="s">
        <v>531</v>
      </c>
      <c r="D341" s="254" t="s">
        <v>6</v>
      </c>
      <c r="E341" s="254" t="s">
        <v>261</v>
      </c>
      <c r="F341" s="154"/>
      <c r="G341" s="3"/>
      <c r="H341" s="3"/>
      <c r="I341" s="74"/>
      <c r="J341" s="154"/>
      <c r="K341" s="3"/>
      <c r="L341" s="3"/>
      <c r="M341" s="74"/>
      <c r="N341" s="154"/>
      <c r="O341" s="3"/>
      <c r="P341" s="3"/>
      <c r="Q341" s="74"/>
    </row>
    <row r="342" spans="1:17" ht="21.75">
      <c r="A342" s="3">
        <v>332</v>
      </c>
      <c r="B342" s="254" t="s">
        <v>328</v>
      </c>
      <c r="C342" s="255" t="s">
        <v>532</v>
      </c>
      <c r="D342" s="254" t="s">
        <v>6</v>
      </c>
      <c r="E342" s="254" t="s">
        <v>261</v>
      </c>
      <c r="F342" s="154"/>
      <c r="G342" s="3"/>
      <c r="H342" s="3"/>
      <c r="I342" s="74"/>
      <c r="J342" s="154"/>
      <c r="K342" s="3"/>
      <c r="L342" s="3"/>
      <c r="M342" s="74"/>
      <c r="N342" s="154"/>
      <c r="O342" s="3"/>
      <c r="P342" s="3"/>
      <c r="Q342" s="74"/>
    </row>
    <row r="343" spans="1:17" ht="21.75">
      <c r="A343" s="18"/>
      <c r="B343" s="18"/>
      <c r="C343" s="55" t="s">
        <v>77</v>
      </c>
      <c r="D343" s="17"/>
      <c r="E343" s="17"/>
      <c r="F343" s="315"/>
      <c r="G343" s="316"/>
      <c r="H343" s="316"/>
      <c r="I343" s="316"/>
      <c r="J343" s="315"/>
      <c r="K343" s="316"/>
      <c r="L343" s="316"/>
      <c r="M343" s="316"/>
      <c r="N343" s="315"/>
      <c r="O343" s="316"/>
      <c r="P343" s="316"/>
      <c r="Q343" s="316"/>
    </row>
    <row r="344" spans="1:17" ht="21.75">
      <c r="A344" s="3">
        <v>333</v>
      </c>
      <c r="B344" s="3">
        <v>6.1</v>
      </c>
      <c r="C344" s="57" t="s">
        <v>92</v>
      </c>
      <c r="D344" s="3" t="s">
        <v>6</v>
      </c>
      <c r="E344" s="3" t="s">
        <v>261</v>
      </c>
      <c r="F344" s="142"/>
      <c r="G344" s="3"/>
      <c r="H344" s="3"/>
      <c r="I344" s="74"/>
      <c r="J344" s="142"/>
      <c r="K344" s="3"/>
      <c r="L344" s="3"/>
      <c r="M344" s="74"/>
      <c r="N344" s="142"/>
      <c r="O344" s="3"/>
      <c r="P344" s="3"/>
      <c r="Q344" s="74"/>
    </row>
    <row r="345" spans="1:17" ht="43.5">
      <c r="A345" s="3">
        <v>334</v>
      </c>
      <c r="B345" s="54">
        <v>6.1</v>
      </c>
      <c r="C345" s="57" t="s">
        <v>430</v>
      </c>
      <c r="D345" s="3" t="s">
        <v>103</v>
      </c>
      <c r="E345" s="3" t="s">
        <v>261</v>
      </c>
      <c r="F345" s="154"/>
      <c r="G345" s="3"/>
      <c r="H345" s="3"/>
      <c r="I345" s="74"/>
      <c r="J345" s="154"/>
      <c r="K345" s="154"/>
      <c r="L345" s="154"/>
      <c r="M345" s="74"/>
      <c r="N345" s="154"/>
      <c r="O345" s="3"/>
      <c r="P345" s="3"/>
      <c r="Q345" s="74"/>
    </row>
    <row r="346" spans="1:17" ht="43.5">
      <c r="A346" s="3">
        <v>335</v>
      </c>
      <c r="B346" s="54" t="s">
        <v>329</v>
      </c>
      <c r="C346" s="164" t="s">
        <v>431</v>
      </c>
      <c r="D346" s="54" t="s">
        <v>103</v>
      </c>
      <c r="E346" s="54" t="s">
        <v>261</v>
      </c>
      <c r="F346" s="154"/>
      <c r="G346" s="3"/>
      <c r="H346" s="3"/>
      <c r="I346" s="74"/>
      <c r="J346" s="154"/>
      <c r="K346" s="154"/>
      <c r="L346" s="154"/>
      <c r="M346" s="74"/>
      <c r="N346" s="154"/>
      <c r="O346" s="3"/>
      <c r="P346" s="3"/>
      <c r="Q346" s="74"/>
    </row>
    <row r="347" spans="1:17" ht="21.75">
      <c r="A347" s="3">
        <v>336</v>
      </c>
      <c r="B347" s="157"/>
      <c r="C347" s="173" t="s">
        <v>179</v>
      </c>
      <c r="D347" s="157"/>
      <c r="E347" s="157"/>
      <c r="F347" s="154"/>
      <c r="G347" s="3"/>
      <c r="H347" s="3"/>
      <c r="I347" s="74"/>
      <c r="J347" s="154"/>
      <c r="K347" s="154"/>
      <c r="L347" s="154"/>
      <c r="M347" s="74"/>
      <c r="N347" s="154"/>
      <c r="O347" s="3"/>
      <c r="P347" s="3"/>
      <c r="Q347" s="74"/>
    </row>
    <row r="348" spans="1:17" ht="21.75">
      <c r="A348" s="3">
        <v>337</v>
      </c>
      <c r="B348" s="157"/>
      <c r="C348" s="173" t="s">
        <v>180</v>
      </c>
      <c r="D348" s="157"/>
      <c r="E348" s="157"/>
      <c r="F348" s="154"/>
      <c r="G348" s="3"/>
      <c r="H348" s="3"/>
      <c r="I348" s="74"/>
      <c r="J348" s="154"/>
      <c r="K348" s="154"/>
      <c r="L348" s="154"/>
      <c r="M348" s="74"/>
      <c r="N348" s="154"/>
      <c r="O348" s="3"/>
      <c r="P348" s="3"/>
      <c r="Q348" s="74"/>
    </row>
    <row r="349" spans="1:17" ht="21.75">
      <c r="A349" s="3">
        <v>338</v>
      </c>
      <c r="B349" s="157"/>
      <c r="C349" s="173" t="s">
        <v>181</v>
      </c>
      <c r="D349" s="158"/>
      <c r="E349" s="158"/>
      <c r="F349" s="154"/>
      <c r="G349" s="3"/>
      <c r="H349" s="3"/>
      <c r="I349" s="74"/>
      <c r="J349" s="154"/>
      <c r="K349" s="154"/>
      <c r="L349" s="154"/>
      <c r="M349" s="74"/>
      <c r="N349" s="154"/>
      <c r="O349" s="3"/>
      <c r="P349" s="3"/>
      <c r="Q349" s="74"/>
    </row>
    <row r="350" spans="1:17" ht="43.5">
      <c r="A350" s="3">
        <v>339</v>
      </c>
      <c r="B350" s="54" t="s">
        <v>330</v>
      </c>
      <c r="C350" s="164" t="s">
        <v>432</v>
      </c>
      <c r="D350" s="54" t="s">
        <v>269</v>
      </c>
      <c r="E350" s="54" t="s">
        <v>261</v>
      </c>
      <c r="F350" s="154"/>
      <c r="G350" s="3"/>
      <c r="H350" s="3"/>
      <c r="I350" s="74"/>
      <c r="J350" s="154"/>
      <c r="K350" s="154"/>
      <c r="L350" s="154"/>
      <c r="M350" s="74"/>
      <c r="N350" s="154"/>
      <c r="O350" s="3"/>
      <c r="P350" s="3"/>
      <c r="Q350" s="74"/>
    </row>
    <row r="351" spans="1:17" ht="21.75">
      <c r="A351" s="3">
        <v>340</v>
      </c>
      <c r="B351" s="157"/>
      <c r="C351" s="173" t="s">
        <v>182</v>
      </c>
      <c r="D351" s="157"/>
      <c r="E351" s="157"/>
      <c r="F351" s="154"/>
      <c r="G351" s="3"/>
      <c r="H351" s="3"/>
      <c r="I351" s="74"/>
      <c r="J351" s="154"/>
      <c r="K351" s="154"/>
      <c r="L351" s="154"/>
      <c r="M351" s="74"/>
      <c r="N351" s="154"/>
      <c r="O351" s="3"/>
      <c r="P351" s="3"/>
      <c r="Q351" s="74"/>
    </row>
    <row r="352" spans="1:17" ht="21.75">
      <c r="A352" s="3">
        <v>341</v>
      </c>
      <c r="B352" s="157"/>
      <c r="C352" s="173" t="s">
        <v>183</v>
      </c>
      <c r="D352" s="157"/>
      <c r="E352" s="157"/>
      <c r="F352" s="154"/>
      <c r="G352" s="3"/>
      <c r="H352" s="3"/>
      <c r="I352" s="74"/>
      <c r="J352" s="154"/>
      <c r="K352" s="154"/>
      <c r="L352" s="154"/>
      <c r="M352" s="74"/>
      <c r="N352" s="154"/>
      <c r="O352" s="3"/>
      <c r="P352" s="3"/>
      <c r="Q352" s="74"/>
    </row>
    <row r="353" spans="1:17" ht="21.75">
      <c r="A353" s="3">
        <v>342</v>
      </c>
      <c r="B353" s="158"/>
      <c r="C353" s="173" t="s">
        <v>184</v>
      </c>
      <c r="D353" s="158"/>
      <c r="E353" s="158"/>
      <c r="F353" s="154"/>
      <c r="G353" s="3"/>
      <c r="H353" s="3"/>
      <c r="I353" s="74"/>
      <c r="J353" s="154"/>
      <c r="K353" s="154"/>
      <c r="L353" s="154"/>
      <c r="M353" s="74"/>
      <c r="N353" s="154"/>
      <c r="O353" s="3"/>
      <c r="P353" s="3"/>
      <c r="Q353" s="74"/>
    </row>
    <row r="354" spans="1:17" ht="43.5">
      <c r="A354" s="3">
        <v>343</v>
      </c>
      <c r="B354" s="54" t="s">
        <v>330</v>
      </c>
      <c r="C354" s="164" t="s">
        <v>433</v>
      </c>
      <c r="D354" s="54" t="s">
        <v>269</v>
      </c>
      <c r="E354" s="54" t="s">
        <v>261</v>
      </c>
      <c r="F354" s="154"/>
      <c r="G354" s="3"/>
      <c r="H354" s="3"/>
      <c r="I354" s="74"/>
      <c r="J354" s="154"/>
      <c r="K354" s="154"/>
      <c r="L354" s="154"/>
      <c r="M354" s="74"/>
      <c r="N354" s="154"/>
      <c r="O354" s="3"/>
      <c r="P354" s="3"/>
      <c r="Q354" s="74"/>
    </row>
    <row r="355" spans="1:17" ht="21.75">
      <c r="A355" s="3">
        <v>344</v>
      </c>
      <c r="B355" s="158"/>
      <c r="C355" s="173" t="s">
        <v>182</v>
      </c>
      <c r="D355" s="158"/>
      <c r="E355" s="158"/>
      <c r="F355" s="154"/>
      <c r="G355" s="3"/>
      <c r="H355" s="3"/>
      <c r="I355" s="74"/>
      <c r="J355" s="154"/>
      <c r="K355" s="154"/>
      <c r="L355" s="154"/>
      <c r="M355" s="74"/>
      <c r="N355" s="154"/>
      <c r="O355" s="3"/>
      <c r="P355" s="3"/>
      <c r="Q355" s="74"/>
    </row>
    <row r="356" spans="1:17" ht="21.75">
      <c r="A356" s="158">
        <v>345</v>
      </c>
      <c r="B356" s="157"/>
      <c r="C356" s="194" t="s">
        <v>183</v>
      </c>
      <c r="D356" s="157"/>
      <c r="E356" s="157"/>
      <c r="F356" s="199"/>
      <c r="G356" s="158"/>
      <c r="H356" s="158"/>
      <c r="I356" s="181"/>
      <c r="J356" s="199"/>
      <c r="K356" s="199"/>
      <c r="L356" s="199"/>
      <c r="M356" s="181"/>
      <c r="N356" s="199"/>
      <c r="O356" s="158"/>
      <c r="P356" s="158"/>
      <c r="Q356" s="181"/>
    </row>
    <row r="357" spans="1:17" ht="21.75">
      <c r="A357" s="3">
        <v>346</v>
      </c>
      <c r="B357" s="158"/>
      <c r="C357" s="173" t="s">
        <v>184</v>
      </c>
      <c r="D357" s="158"/>
      <c r="E357" s="158"/>
      <c r="F357" s="154"/>
      <c r="G357" s="3"/>
      <c r="H357" s="3"/>
      <c r="I357" s="74"/>
      <c r="J357" s="154"/>
      <c r="K357" s="154"/>
      <c r="L357" s="154"/>
      <c r="M357" s="74"/>
      <c r="N357" s="154"/>
      <c r="O357" s="3"/>
      <c r="P357" s="3"/>
      <c r="Q357" s="74"/>
    </row>
    <row r="358" spans="1:17" ht="21.75">
      <c r="A358" s="3">
        <v>347</v>
      </c>
      <c r="B358" s="254" t="s">
        <v>331</v>
      </c>
      <c r="C358" s="255" t="s">
        <v>529</v>
      </c>
      <c r="D358" s="254" t="s">
        <v>6</v>
      </c>
      <c r="E358" s="254" t="s">
        <v>261</v>
      </c>
      <c r="F358" s="142"/>
      <c r="G358" s="142"/>
      <c r="H358" s="3"/>
      <c r="I358" s="74"/>
      <c r="J358" s="142"/>
      <c r="K358" s="142"/>
      <c r="L358" s="154"/>
      <c r="M358" s="74"/>
      <c r="N358" s="142"/>
      <c r="O358" s="142"/>
      <c r="P358" s="3"/>
      <c r="Q358" s="74"/>
    </row>
    <row r="359" spans="1:17" ht="21.75">
      <c r="A359" s="3">
        <v>348</v>
      </c>
      <c r="B359" s="254" t="s">
        <v>522</v>
      </c>
      <c r="C359" s="255" t="s">
        <v>530</v>
      </c>
      <c r="D359" s="265" t="s">
        <v>6</v>
      </c>
      <c r="E359" s="257" t="s">
        <v>261</v>
      </c>
      <c r="F359" s="142"/>
      <c r="G359" s="142"/>
      <c r="H359" s="3"/>
      <c r="I359" s="74"/>
      <c r="J359" s="142"/>
      <c r="K359" s="142"/>
      <c r="L359" s="3"/>
      <c r="M359" s="74"/>
      <c r="N359" s="142"/>
      <c r="O359" s="142"/>
      <c r="P359" s="3"/>
      <c r="Q359" s="74"/>
    </row>
    <row r="360" spans="1:17" ht="21.75">
      <c r="A360" s="18"/>
      <c r="B360" s="172"/>
      <c r="C360" s="55" t="s">
        <v>102</v>
      </c>
      <c r="D360" s="17"/>
      <c r="E360" s="17"/>
      <c r="F360" s="144"/>
      <c r="G360" s="18"/>
      <c r="H360" s="18"/>
      <c r="I360" s="316"/>
      <c r="J360" s="144"/>
      <c r="K360" s="18"/>
      <c r="L360" s="18"/>
      <c r="M360" s="316"/>
      <c r="N360" s="144"/>
      <c r="O360" s="18"/>
      <c r="P360" s="18"/>
      <c r="Q360" s="316"/>
    </row>
    <row r="361" spans="1:17" ht="43.5">
      <c r="A361" s="161">
        <v>349</v>
      </c>
      <c r="B361" s="54">
        <v>7.1</v>
      </c>
      <c r="C361" s="164" t="s">
        <v>93</v>
      </c>
      <c r="D361" s="3" t="s">
        <v>6</v>
      </c>
      <c r="E361" s="54" t="s">
        <v>261</v>
      </c>
      <c r="F361" s="142"/>
      <c r="G361" s="3"/>
      <c r="H361" s="3"/>
      <c r="I361" s="74"/>
      <c r="J361" s="142"/>
      <c r="K361" s="3"/>
      <c r="L361" s="3"/>
      <c r="M361" s="74"/>
      <c r="N361" s="142"/>
      <c r="O361" s="3"/>
      <c r="P361" s="3"/>
      <c r="Q361" s="74"/>
    </row>
    <row r="362" spans="1:17" ht="21.75">
      <c r="A362" s="161">
        <v>350</v>
      </c>
      <c r="B362" s="158"/>
      <c r="C362" s="173" t="s">
        <v>336</v>
      </c>
      <c r="D362" s="158" t="s">
        <v>337</v>
      </c>
      <c r="E362" s="158"/>
      <c r="F362" s="142"/>
      <c r="G362" s="3"/>
      <c r="H362" s="3"/>
      <c r="I362" s="74"/>
      <c r="J362" s="142"/>
      <c r="K362" s="3"/>
      <c r="L362" s="3"/>
      <c r="M362" s="74"/>
      <c r="N362" s="142"/>
      <c r="O362" s="3"/>
      <c r="P362" s="3"/>
      <c r="Q362" s="74"/>
    </row>
    <row r="363" spans="1:17" ht="21.75">
      <c r="A363" s="161">
        <v>351</v>
      </c>
      <c r="B363" s="158">
        <v>7.2</v>
      </c>
      <c r="C363" s="57" t="s">
        <v>94</v>
      </c>
      <c r="D363" s="3" t="s">
        <v>6</v>
      </c>
      <c r="E363" s="3" t="s">
        <v>261</v>
      </c>
      <c r="F363" s="142"/>
      <c r="G363" s="3"/>
      <c r="H363" s="3"/>
      <c r="I363" s="74"/>
      <c r="J363" s="142"/>
      <c r="K363" s="3"/>
      <c r="L363" s="3"/>
      <c r="M363" s="74"/>
      <c r="N363" s="142"/>
      <c r="O363" s="3"/>
      <c r="P363" s="3"/>
      <c r="Q363" s="74"/>
    </row>
    <row r="364" spans="1:17" ht="21.75">
      <c r="A364" s="161">
        <v>352</v>
      </c>
      <c r="B364" s="3">
        <v>7.3</v>
      </c>
      <c r="C364" s="57" t="s">
        <v>95</v>
      </c>
      <c r="D364" s="3" t="s">
        <v>6</v>
      </c>
      <c r="E364" s="54" t="s">
        <v>261</v>
      </c>
      <c r="F364" s="142"/>
      <c r="G364" s="3"/>
      <c r="H364" s="3"/>
      <c r="I364" s="74"/>
      <c r="J364" s="142"/>
      <c r="K364" s="3"/>
      <c r="L364" s="3"/>
      <c r="M364" s="74"/>
      <c r="N364" s="142"/>
      <c r="O364" s="3"/>
      <c r="P364" s="3"/>
      <c r="Q364" s="74"/>
    </row>
    <row r="365" spans="1:17" ht="21.75">
      <c r="A365" s="161">
        <v>353</v>
      </c>
      <c r="B365" s="54">
        <v>7.4</v>
      </c>
      <c r="C365" s="57" t="s">
        <v>96</v>
      </c>
      <c r="D365" s="162" t="s">
        <v>6</v>
      </c>
      <c r="E365" s="54" t="s">
        <v>261</v>
      </c>
      <c r="F365" s="163"/>
      <c r="G365" s="3"/>
      <c r="H365" s="3"/>
      <c r="I365" s="74"/>
      <c r="J365" s="142"/>
      <c r="K365" s="3"/>
      <c r="L365" s="3"/>
      <c r="M365" s="74"/>
      <c r="N365" s="142"/>
      <c r="O365" s="3"/>
      <c r="P365" s="3"/>
      <c r="Q365" s="74"/>
    </row>
    <row r="366" spans="1:17" ht="46.5" customHeight="1">
      <c r="A366" s="161">
        <v>354</v>
      </c>
      <c r="B366" s="54" t="s">
        <v>586</v>
      </c>
      <c r="C366" s="175" t="s">
        <v>502</v>
      </c>
      <c r="D366" s="162" t="s">
        <v>73</v>
      </c>
      <c r="E366" s="157"/>
      <c r="F366" s="163"/>
      <c r="G366" s="3"/>
      <c r="H366" s="3"/>
      <c r="I366" s="74"/>
      <c r="J366" s="142"/>
      <c r="K366" s="3"/>
      <c r="L366" s="3"/>
      <c r="M366" s="74"/>
      <c r="N366" s="142"/>
      <c r="O366" s="3"/>
      <c r="P366" s="3"/>
      <c r="Q366" s="74"/>
    </row>
    <row r="367" spans="1:17" ht="43.5">
      <c r="A367" s="161">
        <v>355</v>
      </c>
      <c r="B367" s="157"/>
      <c r="C367" s="175" t="s">
        <v>504</v>
      </c>
      <c r="D367" s="168"/>
      <c r="E367" s="157"/>
      <c r="F367" s="163"/>
      <c r="G367" s="3"/>
      <c r="H367" s="3"/>
      <c r="I367" s="74"/>
      <c r="J367" s="142"/>
      <c r="K367" s="3"/>
      <c r="L367" s="3"/>
      <c r="M367" s="74"/>
      <c r="N367" s="142"/>
      <c r="O367" s="3"/>
      <c r="P367" s="3"/>
      <c r="Q367" s="74"/>
    </row>
    <row r="368" spans="1:17" ht="43.5">
      <c r="A368" s="161">
        <v>356</v>
      </c>
      <c r="B368" s="157"/>
      <c r="C368" s="203" t="s">
        <v>503</v>
      </c>
      <c r="D368" s="168"/>
      <c r="E368" s="157"/>
      <c r="F368" s="206"/>
      <c r="G368" s="158"/>
      <c r="H368" s="158"/>
      <c r="I368" s="181"/>
      <c r="J368" s="182"/>
      <c r="K368" s="158"/>
      <c r="L368" s="158"/>
      <c r="M368" s="181"/>
      <c r="N368" s="182"/>
      <c r="O368" s="158"/>
      <c r="P368" s="158"/>
      <c r="Q368" s="181"/>
    </row>
    <row r="369" spans="1:17" ht="43.5">
      <c r="A369" s="161">
        <v>357</v>
      </c>
      <c r="B369" s="157"/>
      <c r="C369" s="175" t="s">
        <v>505</v>
      </c>
      <c r="D369" s="168"/>
      <c r="E369" s="157"/>
      <c r="F369" s="163"/>
      <c r="G369" s="3"/>
      <c r="H369" s="3"/>
      <c r="I369" s="74"/>
      <c r="J369" s="142"/>
      <c r="K369" s="3"/>
      <c r="L369" s="3"/>
      <c r="M369" s="74"/>
      <c r="N369" s="142"/>
      <c r="O369" s="3"/>
      <c r="P369" s="3"/>
      <c r="Q369" s="74"/>
    </row>
    <row r="370" spans="1:17" ht="43.5">
      <c r="A370" s="161">
        <v>358</v>
      </c>
      <c r="B370" s="157"/>
      <c r="C370" s="175" t="s">
        <v>506</v>
      </c>
      <c r="D370" s="168"/>
      <c r="E370" s="157"/>
      <c r="F370" s="163"/>
      <c r="G370" s="3"/>
      <c r="H370" s="3"/>
      <c r="I370" s="74"/>
      <c r="J370" s="142"/>
      <c r="K370" s="3"/>
      <c r="L370" s="3"/>
      <c r="M370" s="74"/>
      <c r="N370" s="142"/>
      <c r="O370" s="3"/>
      <c r="P370" s="3"/>
      <c r="Q370" s="74"/>
    </row>
    <row r="371" spans="1:17" ht="43.5">
      <c r="A371" s="161">
        <v>359</v>
      </c>
      <c r="B371" s="158"/>
      <c r="C371" s="175" t="s">
        <v>507</v>
      </c>
      <c r="D371" s="169"/>
      <c r="E371" s="158"/>
      <c r="F371" s="163"/>
      <c r="G371" s="3"/>
      <c r="H371" s="3"/>
      <c r="I371" s="74"/>
      <c r="J371" s="142"/>
      <c r="K371" s="3"/>
      <c r="L371" s="3"/>
      <c r="M371" s="74"/>
      <c r="N371" s="142"/>
      <c r="O371" s="3"/>
      <c r="P371" s="3"/>
      <c r="Q371" s="74"/>
    </row>
    <row r="372" spans="1:17" ht="65.25">
      <c r="A372" s="161">
        <v>360</v>
      </c>
      <c r="B372" s="256" t="s">
        <v>521</v>
      </c>
      <c r="C372" s="255" t="s">
        <v>587</v>
      </c>
      <c r="D372" s="257" t="s">
        <v>282</v>
      </c>
      <c r="E372" s="3" t="s">
        <v>261</v>
      </c>
      <c r="F372" s="163"/>
      <c r="G372" s="142"/>
      <c r="H372" s="3"/>
      <c r="I372" s="74"/>
      <c r="J372" s="142"/>
      <c r="K372" s="142"/>
      <c r="L372" s="3"/>
      <c r="M372" s="74"/>
      <c r="N372" s="142"/>
      <c r="O372" s="142"/>
      <c r="P372" s="3"/>
      <c r="Q372" s="74"/>
    </row>
    <row r="373" spans="1:17" ht="21.75">
      <c r="A373" s="18"/>
      <c r="B373" s="177"/>
      <c r="C373" s="55" t="s">
        <v>78</v>
      </c>
      <c r="D373" s="55"/>
      <c r="E373" s="171"/>
      <c r="F373" s="144"/>
      <c r="G373" s="18"/>
      <c r="H373" s="18"/>
      <c r="I373" s="316"/>
      <c r="J373" s="144"/>
      <c r="K373" s="18"/>
      <c r="L373" s="18"/>
      <c r="M373" s="316"/>
      <c r="N373" s="144"/>
      <c r="O373" s="18"/>
      <c r="P373" s="18"/>
      <c r="Q373" s="316"/>
    </row>
    <row r="374" spans="1:17" ht="21.75">
      <c r="A374" s="161">
        <v>361</v>
      </c>
      <c r="B374" s="54">
        <v>8.1</v>
      </c>
      <c r="C374" s="164" t="s">
        <v>97</v>
      </c>
      <c r="D374" s="3" t="s">
        <v>6</v>
      </c>
      <c r="E374" s="3" t="s">
        <v>255</v>
      </c>
      <c r="F374" s="142"/>
      <c r="G374" s="3"/>
      <c r="H374" s="3"/>
      <c r="I374" s="74"/>
      <c r="J374" s="142"/>
      <c r="K374" s="3"/>
      <c r="L374" s="3"/>
      <c r="M374" s="74"/>
      <c r="N374" s="142"/>
      <c r="O374" s="3"/>
      <c r="P374" s="3"/>
      <c r="Q374" s="74"/>
    </row>
    <row r="375" spans="1:17" ht="21.75">
      <c r="A375" s="169">
        <v>362</v>
      </c>
      <c r="B375" s="54"/>
      <c r="C375" s="308" t="s">
        <v>434</v>
      </c>
      <c r="D375" s="54" t="s">
        <v>21</v>
      </c>
      <c r="E375" s="54"/>
      <c r="F375" s="182"/>
      <c r="G375" s="204">
        <f>SUM(G376:G377)</f>
        <v>0</v>
      </c>
      <c r="H375" s="204">
        <f>SUM(H376:H377)</f>
        <v>0</v>
      </c>
      <c r="I375" s="212">
        <f>SUM(I376:I377)</f>
        <v>0</v>
      </c>
      <c r="J375" s="182"/>
      <c r="K375" s="204">
        <f>SUM(K376:K377)</f>
        <v>0</v>
      </c>
      <c r="L375" s="204">
        <f>SUM(L376:L377)</f>
        <v>0</v>
      </c>
      <c r="M375" s="212">
        <f>SUM(M376:M377)</f>
        <v>0</v>
      </c>
      <c r="N375" s="182"/>
      <c r="O375" s="204">
        <f>SUM(O376:O377)</f>
        <v>0</v>
      </c>
      <c r="P375" s="204">
        <f>SUM(P376:P377)</f>
        <v>0</v>
      </c>
      <c r="Q375" s="212">
        <f>SUM(Q376:Q377)</f>
        <v>0</v>
      </c>
    </row>
    <row r="376" spans="1:17" ht="21.75">
      <c r="A376" s="161">
        <v>363</v>
      </c>
      <c r="B376" s="157"/>
      <c r="C376" s="194" t="s">
        <v>334</v>
      </c>
      <c r="D376" s="157"/>
      <c r="E376" s="157"/>
      <c r="F376" s="182"/>
      <c r="G376" s="158"/>
      <c r="H376" s="158"/>
      <c r="I376" s="181"/>
      <c r="J376" s="182"/>
      <c r="K376" s="158"/>
      <c r="L376" s="158"/>
      <c r="M376" s="181"/>
      <c r="N376" s="182"/>
      <c r="O376" s="158"/>
      <c r="P376" s="158"/>
      <c r="Q376" s="181"/>
    </row>
    <row r="377" spans="1:17" ht="21.75">
      <c r="A377" s="161">
        <v>364</v>
      </c>
      <c r="B377" s="157"/>
      <c r="C377" s="173" t="s">
        <v>335</v>
      </c>
      <c r="D377" s="157"/>
      <c r="E377" s="157"/>
      <c r="F377" s="142"/>
      <c r="G377" s="3"/>
      <c r="H377" s="3"/>
      <c r="I377" s="74"/>
      <c r="J377" s="142"/>
      <c r="K377" s="3"/>
      <c r="L377" s="3"/>
      <c r="M377" s="74"/>
      <c r="N377" s="142"/>
      <c r="O377" s="3"/>
      <c r="P377" s="3"/>
      <c r="Q377" s="74"/>
    </row>
    <row r="378" spans="1:17" ht="21.75">
      <c r="A378" s="161">
        <v>365</v>
      </c>
      <c r="B378" s="157"/>
      <c r="C378" s="205" t="s">
        <v>435</v>
      </c>
      <c r="D378" s="157"/>
      <c r="E378" s="157"/>
      <c r="F378" s="182"/>
      <c r="G378" s="158"/>
      <c r="H378" s="158"/>
      <c r="I378" s="181"/>
      <c r="J378" s="182"/>
      <c r="K378" s="158"/>
      <c r="L378" s="158"/>
      <c r="M378" s="181"/>
      <c r="N378" s="182"/>
      <c r="O378" s="158"/>
      <c r="P378" s="158"/>
      <c r="Q378" s="181"/>
    </row>
    <row r="379" spans="1:17" ht="43.5">
      <c r="A379" s="161">
        <v>366</v>
      </c>
      <c r="B379" s="157"/>
      <c r="C379" s="205" t="s">
        <v>436</v>
      </c>
      <c r="D379" s="157"/>
      <c r="E379" s="157"/>
      <c r="F379" s="182"/>
      <c r="G379" s="158"/>
      <c r="H379" s="158"/>
      <c r="I379" s="181"/>
      <c r="J379" s="182"/>
      <c r="K379" s="158"/>
      <c r="L379" s="158"/>
      <c r="M379" s="181"/>
      <c r="N379" s="182"/>
      <c r="O379" s="158"/>
      <c r="P379" s="158"/>
      <c r="Q379" s="181"/>
    </row>
    <row r="380" spans="1:17" ht="43.5">
      <c r="A380" s="161">
        <v>367</v>
      </c>
      <c r="B380" s="157"/>
      <c r="C380" s="164" t="s">
        <v>437</v>
      </c>
      <c r="D380" s="157"/>
      <c r="E380" s="157"/>
      <c r="F380" s="142"/>
      <c r="G380" s="3"/>
      <c r="H380" s="3"/>
      <c r="I380" s="74"/>
      <c r="J380" s="142"/>
      <c r="K380" s="3"/>
      <c r="L380" s="3"/>
      <c r="M380" s="74"/>
      <c r="N380" s="142"/>
      <c r="O380" s="3"/>
      <c r="P380" s="3"/>
      <c r="Q380" s="74"/>
    </row>
    <row r="381" spans="1:17" ht="21.75">
      <c r="A381" s="161">
        <v>368</v>
      </c>
      <c r="B381" s="157"/>
      <c r="C381" s="164" t="s">
        <v>438</v>
      </c>
      <c r="D381" s="157"/>
      <c r="E381" s="157"/>
      <c r="F381" s="142"/>
      <c r="G381" s="3"/>
      <c r="H381" s="3"/>
      <c r="I381" s="74"/>
      <c r="J381" s="142"/>
      <c r="K381" s="3"/>
      <c r="L381" s="3"/>
      <c r="M381" s="74"/>
      <c r="N381" s="142"/>
      <c r="O381" s="3"/>
      <c r="P381" s="3"/>
      <c r="Q381" s="74"/>
    </row>
    <row r="382" spans="1:17" ht="21.75">
      <c r="A382" s="161">
        <v>369</v>
      </c>
      <c r="B382" s="158"/>
      <c r="C382" s="164" t="s">
        <v>439</v>
      </c>
      <c r="D382" s="158"/>
      <c r="E382" s="158"/>
      <c r="F382" s="142"/>
      <c r="G382" s="3"/>
      <c r="H382" s="3"/>
      <c r="I382" s="74"/>
      <c r="J382" s="142"/>
      <c r="K382" s="3"/>
      <c r="L382" s="3"/>
      <c r="M382" s="74"/>
      <c r="N382" s="142"/>
      <c r="O382" s="3"/>
      <c r="P382" s="3"/>
      <c r="Q382" s="74"/>
    </row>
    <row r="383" spans="1:17" ht="21.75">
      <c r="A383" s="18"/>
      <c r="B383" s="176"/>
      <c r="C383" s="55" t="s">
        <v>79</v>
      </c>
      <c r="D383" s="17"/>
      <c r="E383" s="17"/>
      <c r="F383" s="144"/>
      <c r="G383" s="315"/>
      <c r="H383" s="315"/>
      <c r="I383" s="315"/>
      <c r="J383" s="144"/>
      <c r="K383" s="17"/>
      <c r="L383" s="17"/>
      <c r="M383" s="315"/>
      <c r="N383" s="144"/>
      <c r="O383" s="17"/>
      <c r="P383" s="17"/>
      <c r="Q383" s="315"/>
    </row>
    <row r="384" spans="1:17" ht="23.25" customHeight="1">
      <c r="A384" s="3">
        <v>370</v>
      </c>
      <c r="B384" s="3">
        <v>9.1</v>
      </c>
      <c r="C384" s="57" t="s">
        <v>340</v>
      </c>
      <c r="D384" s="3" t="s">
        <v>6</v>
      </c>
      <c r="E384" s="3" t="s">
        <v>261</v>
      </c>
      <c r="F384" s="142"/>
      <c r="G384" s="3"/>
      <c r="H384" s="3"/>
      <c r="I384" s="74"/>
      <c r="J384" s="142"/>
      <c r="K384" s="3"/>
      <c r="L384" s="3"/>
      <c r="M384" s="74"/>
      <c r="N384" s="142"/>
      <c r="O384" s="3"/>
      <c r="P384" s="3"/>
      <c r="Q384" s="74"/>
    </row>
    <row r="385" spans="1:17" ht="21.75">
      <c r="A385" s="3">
        <v>371</v>
      </c>
      <c r="B385" s="54" t="s">
        <v>338</v>
      </c>
      <c r="C385" s="164" t="s">
        <v>440</v>
      </c>
      <c r="D385" s="3" t="s">
        <v>3</v>
      </c>
      <c r="E385" s="3" t="s">
        <v>261</v>
      </c>
      <c r="F385" s="142"/>
      <c r="G385" s="3"/>
      <c r="H385" s="3"/>
      <c r="I385" s="74"/>
      <c r="J385" s="142"/>
      <c r="K385" s="3"/>
      <c r="L385" s="3"/>
      <c r="M385" s="74"/>
      <c r="N385" s="142"/>
      <c r="O385" s="3"/>
      <c r="P385" s="3"/>
      <c r="Q385" s="74"/>
    </row>
    <row r="386" spans="1:17" ht="65.25">
      <c r="A386" s="161">
        <v>372</v>
      </c>
      <c r="B386" s="54" t="s">
        <v>341</v>
      </c>
      <c r="C386" s="164" t="s">
        <v>441</v>
      </c>
      <c r="D386" s="3" t="s">
        <v>103</v>
      </c>
      <c r="E386" s="54" t="s">
        <v>261</v>
      </c>
      <c r="F386" s="142"/>
      <c r="G386" s="3"/>
      <c r="H386" s="3"/>
      <c r="I386" s="74"/>
      <c r="J386" s="142"/>
      <c r="K386" s="3"/>
      <c r="L386" s="3"/>
      <c r="M386" s="74"/>
      <c r="N386" s="142"/>
      <c r="O386" s="3"/>
      <c r="P386" s="3"/>
      <c r="Q386" s="74"/>
    </row>
    <row r="387" spans="1:17" ht="21.75">
      <c r="A387" s="161">
        <v>373</v>
      </c>
      <c r="B387" s="157"/>
      <c r="C387" s="164" t="s">
        <v>442</v>
      </c>
      <c r="D387" s="3" t="s">
        <v>3</v>
      </c>
      <c r="E387" s="158"/>
      <c r="F387" s="142"/>
      <c r="G387" s="3"/>
      <c r="H387" s="3"/>
      <c r="I387" s="74"/>
      <c r="J387" s="142"/>
      <c r="K387" s="3"/>
      <c r="L387" s="3"/>
      <c r="M387" s="74"/>
      <c r="N387" s="142"/>
      <c r="O387" s="3"/>
      <c r="P387" s="3"/>
      <c r="Q387" s="74"/>
    </row>
    <row r="388" spans="1:17" ht="43.5">
      <c r="A388" s="161">
        <v>374</v>
      </c>
      <c r="B388" s="158"/>
      <c r="C388" s="205" t="s">
        <v>443</v>
      </c>
      <c r="D388" s="158" t="s">
        <v>3</v>
      </c>
      <c r="E388" s="158"/>
      <c r="F388" s="182"/>
      <c r="G388" s="158"/>
      <c r="H388" s="158"/>
      <c r="I388" s="181"/>
      <c r="J388" s="182"/>
      <c r="K388" s="158"/>
      <c r="L388" s="158"/>
      <c r="M388" s="181"/>
      <c r="N388" s="182"/>
      <c r="O388" s="158"/>
      <c r="P388" s="158"/>
      <c r="Q388" s="181"/>
    </row>
    <row r="389" spans="1:17" ht="65.25">
      <c r="A389" s="3">
        <v>375</v>
      </c>
      <c r="B389" s="158" t="s">
        <v>339</v>
      </c>
      <c r="C389" s="164" t="s">
        <v>444</v>
      </c>
      <c r="D389" s="3" t="s">
        <v>313</v>
      </c>
      <c r="E389" s="3" t="s">
        <v>261</v>
      </c>
      <c r="F389" s="142"/>
      <c r="G389" s="3"/>
      <c r="H389" s="3"/>
      <c r="I389" s="74"/>
      <c r="J389" s="142"/>
      <c r="K389" s="3"/>
      <c r="L389" s="3"/>
      <c r="M389" s="74"/>
      <c r="N389" s="142"/>
      <c r="O389" s="3"/>
      <c r="P389" s="3"/>
      <c r="Q389" s="74"/>
    </row>
    <row r="390" spans="1:17" ht="43.5">
      <c r="A390" s="3">
        <v>376</v>
      </c>
      <c r="B390" s="265" t="s">
        <v>342</v>
      </c>
      <c r="C390" s="266" t="s">
        <v>528</v>
      </c>
      <c r="D390" s="254" t="s">
        <v>47</v>
      </c>
      <c r="E390" s="254" t="s">
        <v>261</v>
      </c>
      <c r="F390" s="142"/>
      <c r="G390" s="142"/>
      <c r="H390" s="154"/>
      <c r="I390" s="74"/>
      <c r="J390" s="142"/>
      <c r="K390" s="142"/>
      <c r="L390" s="154"/>
      <c r="M390" s="74"/>
      <c r="N390" s="142"/>
      <c r="O390" s="142"/>
      <c r="P390" s="154"/>
      <c r="Q390" s="74"/>
    </row>
    <row r="391" spans="1:17" ht="42.75">
      <c r="A391" s="3">
        <v>377</v>
      </c>
      <c r="B391" s="331" t="s">
        <v>373</v>
      </c>
      <c r="C391" s="164" t="s">
        <v>508</v>
      </c>
      <c r="D391" s="331" t="s">
        <v>5</v>
      </c>
      <c r="E391" s="331" t="s">
        <v>261</v>
      </c>
      <c r="F391" s="142"/>
      <c r="G391" s="3"/>
      <c r="H391" s="3"/>
      <c r="I391" s="74"/>
      <c r="J391" s="142"/>
      <c r="K391" s="3"/>
      <c r="L391" s="3"/>
      <c r="M391" s="74"/>
      <c r="N391" s="142"/>
      <c r="O391" s="3"/>
      <c r="P391" s="3"/>
      <c r="Q391" s="74"/>
    </row>
    <row r="392" spans="1:17" ht="21.75">
      <c r="A392" s="3">
        <v>378</v>
      </c>
      <c r="B392" s="332"/>
      <c r="C392" s="194" t="s">
        <v>343</v>
      </c>
      <c r="D392" s="332"/>
      <c r="E392" s="332"/>
      <c r="F392" s="182"/>
      <c r="G392" s="158"/>
      <c r="H392" s="158"/>
      <c r="I392" s="181"/>
      <c r="J392" s="182"/>
      <c r="K392" s="158"/>
      <c r="L392" s="158"/>
      <c r="M392" s="181"/>
      <c r="N392" s="182"/>
      <c r="O392" s="158"/>
      <c r="P392" s="158"/>
      <c r="Q392" s="181"/>
    </row>
    <row r="393" spans="1:17" ht="21.75">
      <c r="A393" s="3">
        <v>379</v>
      </c>
      <c r="B393" s="157"/>
      <c r="C393" s="173" t="s">
        <v>344</v>
      </c>
      <c r="D393" s="158"/>
      <c r="E393" s="158"/>
      <c r="F393" s="142"/>
      <c r="G393" s="3"/>
      <c r="H393" s="3"/>
      <c r="I393" s="74"/>
      <c r="J393" s="142"/>
      <c r="K393" s="3"/>
      <c r="L393" s="3"/>
      <c r="M393" s="74"/>
      <c r="N393" s="142"/>
      <c r="O393" s="3"/>
      <c r="P393" s="3"/>
      <c r="Q393" s="74"/>
    </row>
    <row r="394" spans="1:17" ht="21.75">
      <c r="A394" s="169">
        <v>380</v>
      </c>
      <c r="B394" s="54"/>
      <c r="C394" s="194" t="s">
        <v>345</v>
      </c>
      <c r="D394" s="54"/>
      <c r="E394" s="54"/>
      <c r="F394" s="182"/>
      <c r="G394" s="158"/>
      <c r="H394" s="158"/>
      <c r="I394" s="181"/>
      <c r="J394" s="182"/>
      <c r="K394" s="158"/>
      <c r="L394" s="158"/>
      <c r="M394" s="181"/>
      <c r="N394" s="182"/>
      <c r="O394" s="158"/>
      <c r="P394" s="158"/>
      <c r="Q394" s="181"/>
    </row>
    <row r="395" spans="1:17" ht="21.75">
      <c r="A395" s="161">
        <v>381</v>
      </c>
      <c r="B395" s="157"/>
      <c r="C395" s="173" t="s">
        <v>346</v>
      </c>
      <c r="D395" s="157"/>
      <c r="E395" s="157"/>
      <c r="F395" s="142"/>
      <c r="G395" s="3"/>
      <c r="H395" s="3"/>
      <c r="I395" s="74"/>
      <c r="J395" s="142"/>
      <c r="K395" s="3"/>
      <c r="L395" s="3"/>
      <c r="M395" s="74"/>
      <c r="N395" s="142"/>
      <c r="O395" s="3"/>
      <c r="P395" s="3"/>
      <c r="Q395" s="74"/>
    </row>
    <row r="396" spans="1:17" ht="21.75">
      <c r="A396" s="161">
        <v>382</v>
      </c>
      <c r="B396" s="157"/>
      <c r="C396" s="173" t="s">
        <v>347</v>
      </c>
      <c r="D396" s="157"/>
      <c r="E396" s="157"/>
      <c r="F396" s="142"/>
      <c r="G396" s="3"/>
      <c r="H396" s="3"/>
      <c r="I396" s="74"/>
      <c r="J396" s="142"/>
      <c r="K396" s="3"/>
      <c r="L396" s="3"/>
      <c r="M396" s="74"/>
      <c r="N396" s="142"/>
      <c r="O396" s="3"/>
      <c r="P396" s="3"/>
      <c r="Q396" s="74"/>
    </row>
    <row r="397" spans="1:17" ht="21.75">
      <c r="A397" s="161">
        <v>383</v>
      </c>
      <c r="B397" s="157"/>
      <c r="C397" s="173" t="s">
        <v>348</v>
      </c>
      <c r="D397" s="157"/>
      <c r="E397" s="157"/>
      <c r="F397" s="142"/>
      <c r="G397" s="3"/>
      <c r="H397" s="3"/>
      <c r="I397" s="74"/>
      <c r="J397" s="142"/>
      <c r="K397" s="3"/>
      <c r="L397" s="3"/>
      <c r="M397" s="74"/>
      <c r="N397" s="142"/>
      <c r="O397" s="3"/>
      <c r="P397" s="3"/>
      <c r="Q397" s="74"/>
    </row>
    <row r="398" spans="1:17" ht="21.75">
      <c r="A398" s="161">
        <v>384</v>
      </c>
      <c r="B398" s="157"/>
      <c r="C398" s="194" t="s">
        <v>349</v>
      </c>
      <c r="D398" s="157"/>
      <c r="E398" s="157"/>
      <c r="F398" s="182"/>
      <c r="G398" s="158"/>
      <c r="H398" s="158"/>
      <c r="I398" s="181"/>
      <c r="J398" s="182"/>
      <c r="K398" s="158"/>
      <c r="L398" s="158"/>
      <c r="M398" s="181"/>
      <c r="N398" s="182"/>
      <c r="O398" s="158"/>
      <c r="P398" s="158"/>
      <c r="Q398" s="181"/>
    </row>
    <row r="399" spans="1:17" ht="21.75">
      <c r="A399" s="161">
        <v>385</v>
      </c>
      <c r="B399" s="157"/>
      <c r="C399" s="173" t="s">
        <v>350</v>
      </c>
      <c r="D399" s="157"/>
      <c r="E399" s="157"/>
      <c r="F399" s="142"/>
      <c r="G399" s="3"/>
      <c r="H399" s="3"/>
      <c r="I399" s="74"/>
      <c r="J399" s="142"/>
      <c r="K399" s="3"/>
      <c r="L399" s="3"/>
      <c r="M399" s="74"/>
      <c r="N399" s="142"/>
      <c r="O399" s="3"/>
      <c r="P399" s="3"/>
      <c r="Q399" s="74"/>
    </row>
    <row r="400" spans="1:17" ht="21.75">
      <c r="A400" s="161">
        <v>386</v>
      </c>
      <c r="B400" s="157"/>
      <c r="C400" s="173" t="s">
        <v>351</v>
      </c>
      <c r="D400" s="157"/>
      <c r="E400" s="157"/>
      <c r="F400" s="142"/>
      <c r="G400" s="3"/>
      <c r="H400" s="3"/>
      <c r="I400" s="74"/>
      <c r="J400" s="142"/>
      <c r="K400" s="3"/>
      <c r="L400" s="3"/>
      <c r="M400" s="74"/>
      <c r="N400" s="142"/>
      <c r="O400" s="3"/>
      <c r="P400" s="3"/>
      <c r="Q400" s="74"/>
    </row>
    <row r="401" spans="1:17" ht="21.75">
      <c r="A401" s="161">
        <v>387</v>
      </c>
      <c r="B401" s="157"/>
      <c r="C401" s="173" t="s">
        <v>352</v>
      </c>
      <c r="D401" s="157"/>
      <c r="E401" s="157"/>
      <c r="F401" s="142"/>
      <c r="G401" s="3"/>
      <c r="H401" s="3"/>
      <c r="I401" s="74"/>
      <c r="J401" s="142"/>
      <c r="K401" s="3"/>
      <c r="L401" s="3"/>
      <c r="M401" s="74"/>
      <c r="N401" s="142"/>
      <c r="O401" s="3"/>
      <c r="P401" s="3"/>
      <c r="Q401" s="74"/>
    </row>
    <row r="402" spans="1:17" ht="21.75">
      <c r="A402" s="161">
        <v>388</v>
      </c>
      <c r="B402" s="157"/>
      <c r="C402" s="173" t="s">
        <v>353</v>
      </c>
      <c r="D402" s="157"/>
      <c r="E402" s="157"/>
      <c r="F402" s="142"/>
      <c r="G402" s="3"/>
      <c r="H402" s="3"/>
      <c r="I402" s="74"/>
      <c r="J402" s="142"/>
      <c r="K402" s="3"/>
      <c r="L402" s="3"/>
      <c r="M402" s="74"/>
      <c r="N402" s="142"/>
      <c r="O402" s="3"/>
      <c r="P402" s="3"/>
      <c r="Q402" s="74"/>
    </row>
    <row r="403" spans="1:17" ht="21.75">
      <c r="A403" s="161">
        <v>389</v>
      </c>
      <c r="B403" s="157"/>
      <c r="C403" s="173" t="s">
        <v>354</v>
      </c>
      <c r="D403" s="157"/>
      <c r="E403" s="157"/>
      <c r="F403" s="142"/>
      <c r="G403" s="3"/>
      <c r="H403" s="3"/>
      <c r="I403" s="74"/>
      <c r="J403" s="142"/>
      <c r="K403" s="3"/>
      <c r="L403" s="3"/>
      <c r="M403" s="74"/>
      <c r="N403" s="142"/>
      <c r="O403" s="3"/>
      <c r="P403" s="3"/>
      <c r="Q403" s="74"/>
    </row>
    <row r="404" spans="1:17" ht="21.75">
      <c r="A404" s="161">
        <v>390</v>
      </c>
      <c r="B404" s="157"/>
      <c r="C404" s="173" t="s">
        <v>355</v>
      </c>
      <c r="D404" s="157"/>
      <c r="E404" s="157"/>
      <c r="F404" s="142"/>
      <c r="G404" s="3"/>
      <c r="H404" s="3"/>
      <c r="I404" s="74"/>
      <c r="J404" s="142"/>
      <c r="K404" s="3"/>
      <c r="L404" s="3"/>
      <c r="M404" s="74"/>
      <c r="N404" s="142"/>
      <c r="O404" s="3"/>
      <c r="P404" s="3"/>
      <c r="Q404" s="74"/>
    </row>
    <row r="405" spans="1:17" ht="21.75">
      <c r="A405" s="161">
        <v>391</v>
      </c>
      <c r="B405" s="157"/>
      <c r="C405" s="173" t="s">
        <v>356</v>
      </c>
      <c r="D405" s="157"/>
      <c r="E405" s="157"/>
      <c r="F405" s="142"/>
      <c r="G405" s="3"/>
      <c r="H405" s="3"/>
      <c r="I405" s="74"/>
      <c r="J405" s="142"/>
      <c r="K405" s="3"/>
      <c r="L405" s="3"/>
      <c r="M405" s="74"/>
      <c r="N405" s="142"/>
      <c r="O405" s="3"/>
      <c r="P405" s="3"/>
      <c r="Q405" s="74"/>
    </row>
    <row r="406" spans="1:17" ht="21.75">
      <c r="A406" s="161">
        <v>392</v>
      </c>
      <c r="B406" s="158"/>
      <c r="C406" s="173" t="s">
        <v>357</v>
      </c>
      <c r="D406" s="158"/>
      <c r="E406" s="158"/>
      <c r="F406" s="142"/>
      <c r="G406" s="3"/>
      <c r="H406" s="3"/>
      <c r="I406" s="74"/>
      <c r="J406" s="142"/>
      <c r="K406" s="3"/>
      <c r="L406" s="3"/>
      <c r="M406" s="74"/>
      <c r="N406" s="142"/>
      <c r="O406" s="3"/>
      <c r="P406" s="3"/>
      <c r="Q406" s="74"/>
    </row>
    <row r="407" spans="1:17" ht="64.5">
      <c r="A407" s="161">
        <v>393</v>
      </c>
      <c r="B407" s="157"/>
      <c r="C407" s="164" t="s">
        <v>509</v>
      </c>
      <c r="D407" s="54" t="s">
        <v>5</v>
      </c>
      <c r="E407" s="54" t="s">
        <v>261</v>
      </c>
      <c r="F407" s="142"/>
      <c r="G407" s="3"/>
      <c r="H407" s="3"/>
      <c r="I407" s="74"/>
      <c r="J407" s="142"/>
      <c r="K407" s="3"/>
      <c r="L407" s="3"/>
      <c r="M407" s="74"/>
      <c r="N407" s="142"/>
      <c r="O407" s="3"/>
      <c r="P407" s="3"/>
      <c r="Q407" s="74"/>
    </row>
    <row r="408" spans="1:17" ht="21.75">
      <c r="A408" s="161">
        <v>394</v>
      </c>
      <c r="B408" s="157"/>
      <c r="C408" s="173" t="s">
        <v>358</v>
      </c>
      <c r="D408" s="157"/>
      <c r="E408" s="157"/>
      <c r="F408" s="142"/>
      <c r="G408" s="3"/>
      <c r="H408" s="3"/>
      <c r="I408" s="74"/>
      <c r="J408" s="142"/>
      <c r="K408" s="3"/>
      <c r="L408" s="3"/>
      <c r="M408" s="74"/>
      <c r="N408" s="142"/>
      <c r="O408" s="3"/>
      <c r="P408" s="3"/>
      <c r="Q408" s="74"/>
    </row>
    <row r="409" spans="1:17" ht="21.75">
      <c r="A409" s="161">
        <v>395</v>
      </c>
      <c r="B409" s="157"/>
      <c r="C409" s="194" t="s">
        <v>359</v>
      </c>
      <c r="D409" s="157"/>
      <c r="E409" s="157"/>
      <c r="F409" s="182"/>
      <c r="G409" s="158"/>
      <c r="H409" s="158"/>
      <c r="I409" s="181"/>
      <c r="J409" s="182"/>
      <c r="K409" s="158"/>
      <c r="L409" s="158"/>
      <c r="M409" s="181"/>
      <c r="N409" s="182"/>
      <c r="O409" s="158"/>
      <c r="P409" s="158"/>
      <c r="Q409" s="181"/>
    </row>
    <row r="410" spans="1:17" ht="21.75">
      <c r="A410" s="161">
        <v>396</v>
      </c>
      <c r="B410" s="157"/>
      <c r="C410" s="173" t="s">
        <v>360</v>
      </c>
      <c r="D410" s="157"/>
      <c r="E410" s="157"/>
      <c r="F410" s="142"/>
      <c r="G410" s="3"/>
      <c r="H410" s="3"/>
      <c r="I410" s="74"/>
      <c r="J410" s="142"/>
      <c r="K410" s="3"/>
      <c r="L410" s="3"/>
      <c r="M410" s="74"/>
      <c r="N410" s="142"/>
      <c r="O410" s="3"/>
      <c r="P410" s="3"/>
      <c r="Q410" s="74"/>
    </row>
    <row r="411" spans="1:17" ht="21.75">
      <c r="A411" s="161">
        <v>397</v>
      </c>
      <c r="B411" s="157"/>
      <c r="C411" s="173" t="s">
        <v>361</v>
      </c>
      <c r="D411" s="157"/>
      <c r="E411" s="157"/>
      <c r="F411" s="142"/>
      <c r="G411" s="3"/>
      <c r="H411" s="3"/>
      <c r="I411" s="74"/>
      <c r="J411" s="142"/>
      <c r="K411" s="3"/>
      <c r="L411" s="3"/>
      <c r="M411" s="74"/>
      <c r="N411" s="142"/>
      <c r="O411" s="3"/>
      <c r="P411" s="3"/>
      <c r="Q411" s="74"/>
    </row>
    <row r="412" spans="1:17" ht="21.75">
      <c r="A412" s="161">
        <v>398</v>
      </c>
      <c r="B412" s="157"/>
      <c r="C412" s="173" t="s">
        <v>362</v>
      </c>
      <c r="D412" s="157"/>
      <c r="E412" s="157"/>
      <c r="F412" s="142"/>
      <c r="G412" s="3"/>
      <c r="H412" s="3"/>
      <c r="I412" s="74"/>
      <c r="J412" s="142"/>
      <c r="K412" s="3"/>
      <c r="L412" s="3"/>
      <c r="M412" s="74"/>
      <c r="N412" s="142"/>
      <c r="O412" s="3"/>
      <c r="P412" s="3"/>
      <c r="Q412" s="74"/>
    </row>
    <row r="413" spans="1:17" ht="21.75">
      <c r="A413" s="161">
        <v>399</v>
      </c>
      <c r="B413" s="157"/>
      <c r="C413" s="173" t="s">
        <v>363</v>
      </c>
      <c r="D413" s="157"/>
      <c r="E413" s="157"/>
      <c r="F413" s="142"/>
      <c r="G413" s="3"/>
      <c r="H413" s="3"/>
      <c r="I413" s="74"/>
      <c r="J413" s="142"/>
      <c r="K413" s="3"/>
      <c r="L413" s="3"/>
      <c r="M413" s="74"/>
      <c r="N413" s="142"/>
      <c r="O413" s="3"/>
      <c r="P413" s="3"/>
      <c r="Q413" s="74"/>
    </row>
    <row r="414" spans="1:17" ht="21.75">
      <c r="A414" s="161">
        <v>400</v>
      </c>
      <c r="B414" s="157"/>
      <c r="C414" s="173" t="s">
        <v>364</v>
      </c>
      <c r="D414" s="157"/>
      <c r="E414" s="157"/>
      <c r="F414" s="142"/>
      <c r="G414" s="3"/>
      <c r="H414" s="3"/>
      <c r="I414" s="74"/>
      <c r="J414" s="142"/>
      <c r="K414" s="3"/>
      <c r="L414" s="3"/>
      <c r="M414" s="74"/>
      <c r="N414" s="142"/>
      <c r="O414" s="3"/>
      <c r="P414" s="3"/>
      <c r="Q414" s="74"/>
    </row>
    <row r="415" spans="1:17" ht="21.75">
      <c r="A415" s="161">
        <v>401</v>
      </c>
      <c r="B415" s="157"/>
      <c r="C415" s="173" t="s">
        <v>365</v>
      </c>
      <c r="D415" s="157"/>
      <c r="E415" s="157"/>
      <c r="F415" s="142"/>
      <c r="G415" s="3"/>
      <c r="H415" s="3"/>
      <c r="I415" s="74"/>
      <c r="J415" s="142"/>
      <c r="K415" s="3"/>
      <c r="L415" s="3"/>
      <c r="M415" s="74"/>
      <c r="N415" s="142"/>
      <c r="O415" s="3"/>
      <c r="P415" s="3"/>
      <c r="Q415" s="74"/>
    </row>
    <row r="416" spans="1:17" ht="21.75">
      <c r="A416" s="161">
        <v>402</v>
      </c>
      <c r="B416" s="157"/>
      <c r="C416" s="173" t="s">
        <v>366</v>
      </c>
      <c r="D416" s="157"/>
      <c r="E416" s="157"/>
      <c r="F416" s="142"/>
      <c r="G416" s="3"/>
      <c r="H416" s="3"/>
      <c r="I416" s="74"/>
      <c r="J416" s="142"/>
      <c r="K416" s="3"/>
      <c r="L416" s="3"/>
      <c r="M416" s="74"/>
      <c r="N416" s="142"/>
      <c r="O416" s="3"/>
      <c r="P416" s="3"/>
      <c r="Q416" s="74"/>
    </row>
    <row r="417" spans="1:17" ht="21.75">
      <c r="A417" s="161">
        <v>403</v>
      </c>
      <c r="B417" s="157"/>
      <c r="C417" s="173" t="s">
        <v>367</v>
      </c>
      <c r="D417" s="157"/>
      <c r="E417" s="157"/>
      <c r="F417" s="142"/>
      <c r="G417" s="3"/>
      <c r="H417" s="3"/>
      <c r="I417" s="74"/>
      <c r="J417" s="142"/>
      <c r="K417" s="3"/>
      <c r="L417" s="3"/>
      <c r="M417" s="74"/>
      <c r="N417" s="142"/>
      <c r="O417" s="3"/>
      <c r="P417" s="3"/>
      <c r="Q417" s="74"/>
    </row>
    <row r="418" spans="1:17" ht="21.75">
      <c r="A418" s="161">
        <v>404</v>
      </c>
      <c r="B418" s="157"/>
      <c r="C418" s="173" t="s">
        <v>368</v>
      </c>
      <c r="D418" s="157"/>
      <c r="E418" s="157"/>
      <c r="F418" s="142"/>
      <c r="G418" s="3"/>
      <c r="H418" s="3"/>
      <c r="I418" s="74"/>
      <c r="J418" s="142"/>
      <c r="K418" s="3"/>
      <c r="L418" s="3"/>
      <c r="M418" s="74"/>
      <c r="N418" s="142"/>
      <c r="O418" s="3"/>
      <c r="P418" s="3"/>
      <c r="Q418" s="74"/>
    </row>
    <row r="419" spans="1:17" ht="21.75">
      <c r="A419" s="161">
        <v>405</v>
      </c>
      <c r="B419" s="158"/>
      <c r="C419" s="173" t="s">
        <v>369</v>
      </c>
      <c r="D419" s="158"/>
      <c r="E419" s="158"/>
      <c r="F419" s="142"/>
      <c r="G419" s="3"/>
      <c r="H419" s="3"/>
      <c r="I419" s="74"/>
      <c r="J419" s="142"/>
      <c r="K419" s="3"/>
      <c r="L419" s="3"/>
      <c r="M419" s="74"/>
      <c r="N419" s="142"/>
      <c r="O419" s="3"/>
      <c r="P419" s="3"/>
      <c r="Q419" s="74"/>
    </row>
    <row r="420" spans="1:17" ht="21.75">
      <c r="A420" s="3">
        <v>406</v>
      </c>
      <c r="B420" s="157"/>
      <c r="C420" s="173" t="s">
        <v>370</v>
      </c>
      <c r="D420" s="157"/>
      <c r="E420" s="157"/>
      <c r="F420" s="142"/>
      <c r="G420" s="3"/>
      <c r="H420" s="3"/>
      <c r="I420" s="74"/>
      <c r="J420" s="142"/>
      <c r="K420" s="3"/>
      <c r="L420" s="3"/>
      <c r="M420" s="74"/>
      <c r="N420" s="142"/>
      <c r="O420" s="3"/>
      <c r="P420" s="3"/>
      <c r="Q420" s="74"/>
    </row>
    <row r="421" spans="1:17" ht="21.75">
      <c r="A421" s="3">
        <v>407</v>
      </c>
      <c r="B421" s="157"/>
      <c r="C421" s="173" t="s">
        <v>371</v>
      </c>
      <c r="D421" s="157"/>
      <c r="E421" s="157"/>
      <c r="F421" s="142"/>
      <c r="G421" s="3"/>
      <c r="H421" s="3"/>
      <c r="I421" s="74"/>
      <c r="J421" s="142"/>
      <c r="K421" s="3"/>
      <c r="L421" s="3"/>
      <c r="M421" s="74"/>
      <c r="N421" s="142"/>
      <c r="O421" s="3"/>
      <c r="P421" s="3"/>
      <c r="Q421" s="74"/>
    </row>
    <row r="422" spans="1:17" ht="43.5">
      <c r="A422" s="3">
        <v>408</v>
      </c>
      <c r="B422" s="158"/>
      <c r="C422" s="173" t="s">
        <v>372</v>
      </c>
      <c r="D422" s="158"/>
      <c r="E422" s="158"/>
      <c r="F422" s="142"/>
      <c r="G422" s="3"/>
      <c r="H422" s="3"/>
      <c r="I422" s="74"/>
      <c r="J422" s="142"/>
      <c r="K422" s="3"/>
      <c r="L422" s="3"/>
      <c r="M422" s="74"/>
      <c r="N422" s="142"/>
      <c r="O422" s="3"/>
      <c r="P422" s="3"/>
      <c r="Q422" s="74"/>
    </row>
  </sheetData>
  <sheetProtection/>
  <mergeCells count="31">
    <mergeCell ref="E318:E320"/>
    <mergeCell ref="E308:E309"/>
    <mergeCell ref="D232:D233"/>
    <mergeCell ref="B391:B392"/>
    <mergeCell ref="E302:E304"/>
    <mergeCell ref="D391:D392"/>
    <mergeCell ref="E391:E392"/>
    <mergeCell ref="D256:D261"/>
    <mergeCell ref="E282:E286"/>
    <mergeCell ref="E289:E290"/>
    <mergeCell ref="E313:E314"/>
    <mergeCell ref="B139:B140"/>
    <mergeCell ref="B250:B251"/>
    <mergeCell ref="B282:B283"/>
    <mergeCell ref="D269:D270"/>
    <mergeCell ref="B129:B131"/>
    <mergeCell ref="B165:B166"/>
    <mergeCell ref="A3:A5"/>
    <mergeCell ref="D3:D5"/>
    <mergeCell ref="C3:C5"/>
    <mergeCell ref="F3:I3"/>
    <mergeCell ref="F4:H4"/>
    <mergeCell ref="D8:D13"/>
    <mergeCell ref="D14:D19"/>
    <mergeCell ref="J4:L4"/>
    <mergeCell ref="E3:E5"/>
    <mergeCell ref="B3:B5"/>
    <mergeCell ref="B1:Q1"/>
    <mergeCell ref="N3:Q3"/>
    <mergeCell ref="N4:P4"/>
    <mergeCell ref="J3:M3"/>
  </mergeCells>
  <printOptions/>
  <pageMargins left="0.15748031496062992" right="0.2755905511811024" top="0.35433070866141736" bottom="0.2362204724409449" header="0.15748031496062992" footer="0.15748031496062992"/>
  <pageSetup cellComments="asDisplayed" horizontalDpi="600" verticalDpi="600" orientation="landscape" paperSize="9" scale="83" r:id="rId3"/>
  <headerFooter alignWithMargins="0">
    <oddHeader>&amp;R&amp;P</oddHead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86" zoomScaleNormal="86" zoomScalePageLayoutView="0" workbookViewId="0" topLeftCell="A1">
      <pane xSplit="2" ySplit="10" topLeftCell="C11" activePane="bottomRight" state="frozen"/>
      <selection pane="topLeft" activeCell="C392" sqref="C392"/>
      <selection pane="topRight" activeCell="C392" sqref="C392"/>
      <selection pane="bottomLeft" activeCell="C392" sqref="C392"/>
      <selection pane="bottomRight" activeCell="L14" sqref="L14"/>
    </sheetView>
  </sheetViews>
  <sheetFormatPr defaultColWidth="9.140625" defaultRowHeight="12.75"/>
  <cols>
    <col min="1" max="1" width="6.140625" style="5" customWidth="1"/>
    <col min="2" max="2" width="30.57421875" style="5" customWidth="1"/>
    <col min="3" max="3" width="9.57421875" style="5" customWidth="1"/>
    <col min="4" max="4" width="10.00390625" style="5" bestFit="1" customWidth="1"/>
    <col min="5" max="5" width="12.57421875" style="5" customWidth="1"/>
    <col min="6" max="6" width="7.00390625" style="5" bestFit="1" customWidth="1"/>
    <col min="7" max="7" width="12.421875" style="5" bestFit="1" customWidth="1"/>
    <col min="8" max="8" width="6.140625" style="5" bestFit="1" customWidth="1"/>
    <col min="9" max="9" width="12.8515625" style="5" bestFit="1" customWidth="1"/>
    <col min="10" max="11" width="4.421875" style="5" bestFit="1" customWidth="1"/>
    <col min="12" max="13" width="7.7109375" style="5" customWidth="1"/>
    <col min="14" max="14" width="7.7109375" style="5" bestFit="1" customWidth="1"/>
    <col min="15" max="15" width="6.7109375" style="5" bestFit="1" customWidth="1"/>
    <col min="16" max="16" width="7.28125" style="5" bestFit="1" customWidth="1"/>
    <col min="17" max="17" width="6.7109375" style="5" bestFit="1" customWidth="1"/>
    <col min="18" max="18" width="7.57421875" style="5" customWidth="1"/>
    <col min="19" max="19" width="13.57421875" style="5" customWidth="1"/>
    <col min="20" max="20" width="6.140625" style="5" bestFit="1" customWidth="1"/>
    <col min="21" max="16384" width="9.140625" style="5" customWidth="1"/>
  </cols>
  <sheetData>
    <row r="1" spans="1:18" ht="29.25">
      <c r="A1" s="392" t="s">
        <v>511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ht="26.25">
      <c r="A2" s="392" t="s">
        <v>33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1:18" ht="21">
      <c r="A3" s="4"/>
      <c r="B3" s="187"/>
      <c r="C3" s="4"/>
      <c r="D3" s="4"/>
      <c r="E3" s="1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1">
      <c r="A4" s="383" t="s">
        <v>3</v>
      </c>
      <c r="B4" s="384"/>
      <c r="C4" s="7" t="s">
        <v>1</v>
      </c>
      <c r="D4" s="376" t="s">
        <v>132</v>
      </c>
      <c r="E4" s="377"/>
      <c r="F4" s="377"/>
      <c r="G4" s="377"/>
      <c r="H4" s="377"/>
      <c r="I4" s="378"/>
      <c r="J4" s="379" t="s">
        <v>7</v>
      </c>
      <c r="K4" s="379"/>
      <c r="L4" s="376" t="s">
        <v>131</v>
      </c>
      <c r="M4" s="377"/>
      <c r="N4" s="378"/>
      <c r="O4" s="379" t="s">
        <v>8</v>
      </c>
      <c r="P4" s="379"/>
      <c r="Q4" s="379" t="s">
        <v>9</v>
      </c>
      <c r="R4" s="379"/>
      <c r="S4" s="6" t="s">
        <v>10</v>
      </c>
    </row>
    <row r="5" spans="1:19" ht="21">
      <c r="A5" s="385"/>
      <c r="B5" s="386"/>
      <c r="C5" s="14"/>
      <c r="D5" s="376">
        <v>2552</v>
      </c>
      <c r="E5" s="378"/>
      <c r="F5" s="376">
        <v>2553</v>
      </c>
      <c r="G5" s="377"/>
      <c r="H5" s="377"/>
      <c r="I5" s="378"/>
      <c r="J5" s="389">
        <v>2553</v>
      </c>
      <c r="K5" s="389">
        <v>2554</v>
      </c>
      <c r="L5" s="6">
        <v>2552</v>
      </c>
      <c r="M5" s="379">
        <v>2553</v>
      </c>
      <c r="N5" s="379"/>
      <c r="O5" s="379"/>
      <c r="P5" s="379"/>
      <c r="Q5" s="379"/>
      <c r="R5" s="379"/>
      <c r="S5" s="379" t="s">
        <v>11</v>
      </c>
    </row>
    <row r="6" spans="1:19" ht="37.5">
      <c r="A6" s="385"/>
      <c r="B6" s="386"/>
      <c r="C6" s="14"/>
      <c r="D6" s="376"/>
      <c r="E6" s="377"/>
      <c r="F6" s="377"/>
      <c r="G6" s="378"/>
      <c r="H6" s="379" t="s">
        <v>13</v>
      </c>
      <c r="I6" s="379"/>
      <c r="J6" s="390"/>
      <c r="K6" s="390"/>
      <c r="L6" s="379"/>
      <c r="M6" s="379"/>
      <c r="N6" s="379" t="s">
        <v>13</v>
      </c>
      <c r="O6" s="6" t="s">
        <v>33</v>
      </c>
      <c r="P6" s="6" t="s">
        <v>13</v>
      </c>
      <c r="Q6" s="6" t="s">
        <v>33</v>
      </c>
      <c r="R6" s="6" t="s">
        <v>13</v>
      </c>
      <c r="S6" s="379"/>
    </row>
    <row r="7" spans="1:19" ht="56.25">
      <c r="A7" s="385"/>
      <c r="B7" s="386"/>
      <c r="C7" s="14"/>
      <c r="D7" s="6" t="s">
        <v>14</v>
      </c>
      <c r="E7" s="16" t="s">
        <v>23</v>
      </c>
      <c r="F7" s="6" t="s">
        <v>14</v>
      </c>
      <c r="G7" s="16" t="s">
        <v>23</v>
      </c>
      <c r="H7" s="6" t="s">
        <v>14</v>
      </c>
      <c r="I7" s="16" t="s">
        <v>25</v>
      </c>
      <c r="J7" s="390"/>
      <c r="K7" s="390"/>
      <c r="L7" s="379"/>
      <c r="M7" s="379"/>
      <c r="N7" s="379"/>
      <c r="O7" s="379" t="s">
        <v>42</v>
      </c>
      <c r="P7" s="379"/>
      <c r="Q7" s="379" t="s">
        <v>44</v>
      </c>
      <c r="R7" s="379"/>
      <c r="S7" s="379"/>
    </row>
    <row r="8" spans="1:19" ht="37.5">
      <c r="A8" s="387"/>
      <c r="B8" s="388"/>
      <c r="C8" s="66"/>
      <c r="D8" s="6" t="s">
        <v>15</v>
      </c>
      <c r="E8" s="15" t="s">
        <v>24</v>
      </c>
      <c r="F8" s="6" t="s">
        <v>15</v>
      </c>
      <c r="G8" s="15" t="s">
        <v>24</v>
      </c>
      <c r="H8" s="6" t="s">
        <v>15</v>
      </c>
      <c r="I8" s="15" t="s">
        <v>26</v>
      </c>
      <c r="J8" s="391"/>
      <c r="K8" s="391"/>
      <c r="L8" s="379"/>
      <c r="M8" s="379"/>
      <c r="N8" s="379"/>
      <c r="O8" s="379" t="s">
        <v>43</v>
      </c>
      <c r="P8" s="379"/>
      <c r="Q8" s="379" t="s">
        <v>45</v>
      </c>
      <c r="R8" s="379"/>
      <c r="S8" s="379"/>
    </row>
    <row r="9" spans="1:20" s="8" customFormat="1" ht="23.25">
      <c r="A9" s="334" t="s">
        <v>512</v>
      </c>
      <c r="B9" s="335"/>
      <c r="C9" s="335"/>
      <c r="D9" s="335"/>
      <c r="E9" s="335"/>
      <c r="F9" s="335"/>
      <c r="G9" s="335"/>
      <c r="H9" s="335"/>
      <c r="I9" s="336"/>
      <c r="J9" s="225"/>
      <c r="K9" s="225"/>
      <c r="L9" s="226">
        <f>SUM(L12,L14,L15,L18,L21,L22,L23,L24,L25,L27,L28,L31,L32,L33,L36,L37,L39,L41,L42,L43,L44,L46,L48)/23</f>
        <v>0</v>
      </c>
      <c r="M9" s="226">
        <f>SUM(M12,M14,M15,M18,M21,M22,M23,M24,M25,M27,M28,M31,M32,M33,M36,M37,M39,M41,M42,M43,M44,M46,M48)/23</f>
        <v>0</v>
      </c>
      <c r="N9" s="226">
        <f>SUM(N12,N14,N15,N18,N21,N22,N23,N24,N25,N27,N28,N31,N32,N33,N36,N37,N39,N41,N42,N43,N44,N46,N48)/23</f>
        <v>0</v>
      </c>
      <c r="O9" s="226">
        <f>COUNTIF(O12:O48,"/")</f>
        <v>0</v>
      </c>
      <c r="P9" s="226">
        <f>COUNTIF(P12:P48,"/")</f>
        <v>0</v>
      </c>
      <c r="Q9" s="226">
        <f>COUNTIF(Q12:Q48,"/")</f>
        <v>0</v>
      </c>
      <c r="R9" s="226">
        <f>COUNTIF(R12:R48,"/")</f>
        <v>0</v>
      </c>
      <c r="S9" s="225"/>
      <c r="T9" s="47"/>
    </row>
    <row r="10" spans="1:20" s="8" customFormat="1" ht="23.25">
      <c r="A10" s="380" t="s">
        <v>221</v>
      </c>
      <c r="B10" s="381"/>
      <c r="C10" s="381"/>
      <c r="D10" s="381"/>
      <c r="E10" s="381"/>
      <c r="F10" s="381"/>
      <c r="G10" s="381"/>
      <c r="H10" s="381"/>
      <c r="I10" s="382"/>
      <c r="J10" s="83"/>
      <c r="K10" s="83"/>
      <c r="L10" s="146">
        <f>SUM(L12,L14,L15,L18,L21,L22,L23,L24,L25,L27,L28,L29,L31,L32,L33,L36,L37,L39,L41,L42,L43,L44,L46,L48)/24</f>
        <v>0</v>
      </c>
      <c r="M10" s="146">
        <f>SUM(M12,M14,M15,M18,M21,M22,M23,M24,M25,M27,M28,M29,M31,M32,M33,M36,M37,M39,M41,M42,M43,M44,M46,M48)/24</f>
        <v>0</v>
      </c>
      <c r="N10" s="146">
        <f>SUM(N12,N14,N15,N18,N21,N22,N23,N24,N25,N27,N28,N29,N31,N32,N33,N36,N37,N39,N41,N42,N43,N44,N46,N48)/24</f>
        <v>0</v>
      </c>
      <c r="O10" s="146">
        <f>COUNTIF(O12:O48,"/")</f>
        <v>0</v>
      </c>
      <c r="P10" s="146">
        <f>COUNTIF(P12:P48,"/")</f>
        <v>0</v>
      </c>
      <c r="Q10" s="146">
        <f>COUNTIF(Q12:Q48,"/")</f>
        <v>0</v>
      </c>
      <c r="R10" s="146">
        <f>COUNTIF(R12:R48,"/")</f>
        <v>0</v>
      </c>
      <c r="S10" s="83"/>
      <c r="T10" s="47"/>
    </row>
    <row r="11" spans="1:20" ht="21.75">
      <c r="A11" s="48" t="s">
        <v>139</v>
      </c>
      <c r="B11" s="49"/>
      <c r="C11" s="61"/>
      <c r="D11" s="9"/>
      <c r="E11" s="9"/>
      <c r="F11" s="9"/>
      <c r="G11" s="9"/>
      <c r="H11" s="9"/>
      <c r="I11" s="9"/>
      <c r="J11" s="9"/>
      <c r="K11" s="9"/>
      <c r="L11" s="70">
        <f>SUM(L12)/1</f>
        <v>0</v>
      </c>
      <c r="M11" s="70">
        <f>SUM(M12)/1</f>
        <v>0</v>
      </c>
      <c r="N11" s="70">
        <f>SUM(N12)/1</f>
        <v>0</v>
      </c>
      <c r="O11" s="10">
        <f>COUNTIF(O12,"/")</f>
        <v>0</v>
      </c>
      <c r="P11" s="10">
        <f>COUNTIF(P12,"/")</f>
        <v>0</v>
      </c>
      <c r="Q11" s="10">
        <f>COUNTIF(Q12,"/")</f>
        <v>0</v>
      </c>
      <c r="R11" s="10">
        <f>COUNTIF(R12,"/")</f>
        <v>0</v>
      </c>
      <c r="S11" s="11"/>
      <c r="T11" s="42"/>
    </row>
    <row r="12" spans="1:20" ht="21">
      <c r="A12" s="62">
        <v>1.1</v>
      </c>
      <c r="B12" s="63" t="s">
        <v>48</v>
      </c>
      <c r="C12" s="12" t="s">
        <v>6</v>
      </c>
      <c r="D12" s="341">
        <f>data!G7</f>
        <v>0</v>
      </c>
      <c r="E12" s="342"/>
      <c r="F12" s="341">
        <f>data!H7</f>
        <v>0</v>
      </c>
      <c r="G12" s="342"/>
      <c r="H12" s="339">
        <f>data!I7</f>
        <v>0</v>
      </c>
      <c r="I12" s="340"/>
      <c r="J12" s="12"/>
      <c r="K12" s="12"/>
      <c r="L12" s="69">
        <f>IF(OR(D12="N/A",D12=0),0,IF(D12=1,1,IF(D12&lt;4,2,IF(D12&lt;6,3,IF(D12&lt;8,4,5)))))</f>
        <v>0</v>
      </c>
      <c r="M12" s="69">
        <f>IF(OR(F12="N/A",F12=0),0,IF(F12=1,1,IF(F12&lt;4,2,IF(F12&lt;6,3,IF(F12&lt;8,4,5)))))</f>
        <v>0</v>
      </c>
      <c r="N12" s="79">
        <f>IF(OR(H12="N/A",H12=0),0,IF(H12=1,1,IF(H12&lt;4,2,IF(H12&lt;6,3,IF(H12&lt;8,4,5)))))</f>
        <v>0</v>
      </c>
      <c r="O12" s="12"/>
      <c r="P12" s="78"/>
      <c r="Q12" s="12"/>
      <c r="R12" s="78"/>
      <c r="S12" s="12"/>
      <c r="T12" s="42"/>
    </row>
    <row r="13" spans="1:20" ht="21.75">
      <c r="A13" s="361" t="s">
        <v>185</v>
      </c>
      <c r="B13" s="362"/>
      <c r="C13" s="362"/>
      <c r="D13" s="362"/>
      <c r="E13" s="362"/>
      <c r="F13" s="362"/>
      <c r="G13" s="362"/>
      <c r="H13" s="362"/>
      <c r="I13" s="9"/>
      <c r="J13" s="9"/>
      <c r="K13" s="9"/>
      <c r="L13" s="70">
        <f>SUM(L14,L15,L18,L21,L22,L23,L24,L25)/8</f>
        <v>0</v>
      </c>
      <c r="M13" s="70">
        <f>SUM(M14,M15,M18,M21,M22,M23,M24,M25)/8</f>
        <v>0</v>
      </c>
      <c r="N13" s="70">
        <f>SUM(N14,N15,N18,N21,N22,N23,N24,N25)/8</f>
        <v>0</v>
      </c>
      <c r="O13" s="10">
        <f>COUNTIF(O14:O25,"/")</f>
        <v>0</v>
      </c>
      <c r="P13" s="10">
        <f>COUNTIF(P14:P25,"/")</f>
        <v>0</v>
      </c>
      <c r="Q13" s="10">
        <f>COUNTIF(Q14:Q25,"/")</f>
        <v>0</v>
      </c>
      <c r="R13" s="10">
        <f>COUNTIF(R14:R25,"/")</f>
        <v>0</v>
      </c>
      <c r="S13" s="11"/>
      <c r="T13" s="42"/>
    </row>
    <row r="14" spans="1:20" ht="42">
      <c r="A14" s="62">
        <v>2.1</v>
      </c>
      <c r="B14" s="63" t="s">
        <v>104</v>
      </c>
      <c r="C14" s="21" t="s">
        <v>6</v>
      </c>
      <c r="D14" s="341">
        <f>data!G25</f>
        <v>0</v>
      </c>
      <c r="E14" s="342"/>
      <c r="F14" s="341">
        <f>data!H25</f>
        <v>0</v>
      </c>
      <c r="G14" s="342"/>
      <c r="H14" s="339">
        <f>data!I25</f>
        <v>0</v>
      </c>
      <c r="I14" s="340"/>
      <c r="J14" s="12"/>
      <c r="K14" s="12"/>
      <c r="L14" s="69">
        <f>IF(OR(D14="N/A",D14=0),0,IF(D14=1,1,IF(D14&lt;3,2,IF(D14&lt;4,3,IF(D14&lt;7,4,5)))))</f>
        <v>0</v>
      </c>
      <c r="M14" s="69">
        <f>IF(OR(F14="N/A",F14=0),0,IF(F14=1,1,IF(F14&lt;3,2,IF(F14&lt;4,3,IF(F14&lt;7,4,5)))))</f>
        <v>0</v>
      </c>
      <c r="N14" s="79">
        <f>IF(OR(H14="N/A",H14=0),0,IF(H14=1,1,IF(H14&lt;3,2,IF(H14&lt;4,3,IF(H14&lt;7,4,5)))))</f>
        <v>0</v>
      </c>
      <c r="O14" s="12"/>
      <c r="P14" s="78"/>
      <c r="Q14" s="12"/>
      <c r="R14" s="78"/>
      <c r="S14" s="21"/>
      <c r="T14" s="42"/>
    </row>
    <row r="15" spans="1:20" ht="21">
      <c r="A15" s="351">
        <v>2.2</v>
      </c>
      <c r="B15" s="366" t="s">
        <v>49</v>
      </c>
      <c r="C15" s="343" t="s">
        <v>223</v>
      </c>
      <c r="D15" s="12">
        <f>data!G163</f>
        <v>0</v>
      </c>
      <c r="E15" s="349" t="str">
        <f>IF(D16=0,"0",(D15/D16)*100)</f>
        <v>0</v>
      </c>
      <c r="F15" s="12">
        <f>data!H163</f>
        <v>0</v>
      </c>
      <c r="G15" s="349" t="str">
        <f>IF(F16=0,"0",(F15/F16)*100)</f>
        <v>0</v>
      </c>
      <c r="H15" s="78">
        <f>data!I163</f>
        <v>0</v>
      </c>
      <c r="I15" s="374" t="str">
        <f>IF(H16=0,"0",H15/H16*100)</f>
        <v>0</v>
      </c>
      <c r="J15" s="343"/>
      <c r="K15" s="343"/>
      <c r="L15" s="355">
        <f>IF((E15/12)&lt;=5,(E15/12),5)</f>
        <v>0</v>
      </c>
      <c r="M15" s="355">
        <f>IF((G15/12)&lt;=5,(G15/12),5)</f>
        <v>0</v>
      </c>
      <c r="N15" s="372">
        <f>IF((I15/12)&lt;=5,(I15/12),5)</f>
        <v>0</v>
      </c>
      <c r="O15" s="343"/>
      <c r="P15" s="345"/>
      <c r="Q15" s="343"/>
      <c r="R15" s="345"/>
      <c r="S15" s="343"/>
      <c r="T15" s="42"/>
    </row>
    <row r="16" spans="1:20" ht="21">
      <c r="A16" s="352"/>
      <c r="B16" s="393"/>
      <c r="C16" s="344"/>
      <c r="D16" s="12">
        <f>data!G159</f>
        <v>0</v>
      </c>
      <c r="E16" s="350"/>
      <c r="F16" s="12">
        <f>data!H159</f>
        <v>0</v>
      </c>
      <c r="G16" s="350"/>
      <c r="H16" s="78">
        <f>data!I159</f>
        <v>0</v>
      </c>
      <c r="I16" s="375"/>
      <c r="J16" s="344"/>
      <c r="K16" s="344"/>
      <c r="L16" s="356"/>
      <c r="M16" s="356"/>
      <c r="N16" s="373"/>
      <c r="O16" s="344"/>
      <c r="P16" s="346"/>
      <c r="Q16" s="344"/>
      <c r="R16" s="346"/>
      <c r="S16" s="344"/>
      <c r="T16" s="42"/>
    </row>
    <row r="17" spans="1:20" ht="93.75">
      <c r="A17" s="352"/>
      <c r="B17" s="393"/>
      <c r="C17" s="13" t="s">
        <v>224</v>
      </c>
      <c r="D17" s="357">
        <f>ABS(E15-data!F164)</f>
        <v>0</v>
      </c>
      <c r="E17" s="358"/>
      <c r="F17" s="357">
        <f>ABS(G15-data!G164)</f>
        <v>0</v>
      </c>
      <c r="G17" s="358"/>
      <c r="H17" s="337">
        <f>ABS(I15-data!H164)</f>
        <v>0</v>
      </c>
      <c r="I17" s="338"/>
      <c r="J17" s="13"/>
      <c r="K17" s="13"/>
      <c r="L17" s="140">
        <f>IF((D17/2.4)&lt;=5,(D17/2.4),5)</f>
        <v>0</v>
      </c>
      <c r="M17" s="140">
        <f>IF((F17/2.4)&lt;=5,(F17/2.4),5)</f>
        <v>0</v>
      </c>
      <c r="N17" s="141">
        <f>IF((H17/2.4)&lt;=5,(H17/2.4),5)</f>
        <v>0</v>
      </c>
      <c r="O17" s="13"/>
      <c r="P17" s="122"/>
      <c r="Q17" s="13"/>
      <c r="R17" s="122"/>
      <c r="S17" s="13"/>
      <c r="T17" s="42"/>
    </row>
    <row r="18" spans="1:20" ht="21">
      <c r="A18" s="351">
        <v>2.3</v>
      </c>
      <c r="B18" s="366" t="s">
        <v>50</v>
      </c>
      <c r="C18" s="343" t="s">
        <v>223</v>
      </c>
      <c r="D18" s="12">
        <f>(data!G173+data!G177)</f>
        <v>0</v>
      </c>
      <c r="E18" s="353" t="str">
        <f>IF(D19=0,"0",D18/D19*100)</f>
        <v>0</v>
      </c>
      <c r="F18" s="12">
        <f>(data!H173+data!H177)</f>
        <v>0</v>
      </c>
      <c r="G18" s="353" t="str">
        <f>IF(F19=0,"0",F18/F19*100)</f>
        <v>0</v>
      </c>
      <c r="H18" s="123">
        <f>(data!I173+data!I177)</f>
        <v>0</v>
      </c>
      <c r="I18" s="347" t="str">
        <f>IF(H19=0,"0",H18/H19*100)</f>
        <v>0</v>
      </c>
      <c r="J18" s="343"/>
      <c r="K18" s="343"/>
      <c r="L18" s="355">
        <f>IF((E18/6)&lt;=5,(E18/6),5)</f>
        <v>0</v>
      </c>
      <c r="M18" s="355">
        <f>IF((G18/6)&lt;=5,(G18/6),5)</f>
        <v>0</v>
      </c>
      <c r="N18" s="372">
        <f>IF((I18/6)&lt;=5,(I18/6),5)</f>
        <v>0</v>
      </c>
      <c r="O18" s="343"/>
      <c r="P18" s="345"/>
      <c r="Q18" s="343"/>
      <c r="R18" s="345"/>
      <c r="S18" s="343"/>
      <c r="T18" s="42"/>
    </row>
    <row r="19" spans="1:20" ht="21">
      <c r="A19" s="352"/>
      <c r="B19" s="393"/>
      <c r="C19" s="344"/>
      <c r="D19" s="12">
        <f>data!G159</f>
        <v>0</v>
      </c>
      <c r="E19" s="354"/>
      <c r="F19" s="12">
        <f>data!H159</f>
        <v>0</v>
      </c>
      <c r="G19" s="354"/>
      <c r="H19" s="123">
        <f>data!I159</f>
        <v>0</v>
      </c>
      <c r="I19" s="348"/>
      <c r="J19" s="344"/>
      <c r="K19" s="344"/>
      <c r="L19" s="356"/>
      <c r="M19" s="356"/>
      <c r="N19" s="373"/>
      <c r="O19" s="344"/>
      <c r="P19" s="346"/>
      <c r="Q19" s="344"/>
      <c r="R19" s="346"/>
      <c r="S19" s="344"/>
      <c r="T19" s="42"/>
    </row>
    <row r="20" spans="1:20" ht="93.75">
      <c r="A20" s="352"/>
      <c r="B20" s="393"/>
      <c r="C20" s="13" t="s">
        <v>224</v>
      </c>
      <c r="D20" s="357">
        <f>ABS(E18-data!G182)</f>
        <v>0</v>
      </c>
      <c r="E20" s="358" t="e">
        <f>D20/#REF!*100</f>
        <v>#REF!</v>
      </c>
      <c r="F20" s="357">
        <f>ABS(G18-data!H182)</f>
        <v>0</v>
      </c>
      <c r="G20" s="358" t="e">
        <f>F20/#REF!*100</f>
        <v>#REF!</v>
      </c>
      <c r="H20" s="337">
        <f>ABS(I18-data!I182)</f>
        <v>0</v>
      </c>
      <c r="I20" s="338" t="e">
        <f>H20/#REF!*100</f>
        <v>#REF!</v>
      </c>
      <c r="J20" s="13"/>
      <c r="K20" s="13"/>
      <c r="L20" s="140">
        <f>IF((D20/1.2)&lt;=5,(D20/1.2),5)</f>
        <v>0</v>
      </c>
      <c r="M20" s="140">
        <f>IF((F20/1.2)&lt;=5,(F20/1.2),5)</f>
        <v>0</v>
      </c>
      <c r="N20" s="141">
        <f>IF((H20/1.2)&lt;=5,(H20/1.2),5)</f>
        <v>0</v>
      </c>
      <c r="O20" s="13"/>
      <c r="P20" s="122"/>
      <c r="Q20" s="13"/>
      <c r="R20" s="122"/>
      <c r="S20" s="13"/>
      <c r="T20" s="42"/>
    </row>
    <row r="21" spans="1:20" ht="63">
      <c r="A21" s="50">
        <v>2.4</v>
      </c>
      <c r="B21" s="64" t="s">
        <v>51</v>
      </c>
      <c r="C21" s="13" t="s">
        <v>6</v>
      </c>
      <c r="D21" s="341">
        <f>data!G213</f>
        <v>0</v>
      </c>
      <c r="E21" s="342"/>
      <c r="F21" s="341">
        <f>data!H213</f>
        <v>0</v>
      </c>
      <c r="G21" s="342"/>
      <c r="H21" s="339">
        <f>data!I213</f>
        <v>0</v>
      </c>
      <c r="I21" s="340"/>
      <c r="J21" s="13"/>
      <c r="K21" s="13"/>
      <c r="L21" s="69">
        <f>IF(OR(D21="N/A",D21=0),0,IF(D21=1,1,IF(D21&lt;3,2,IF(D21&lt;5,3,IF(D21&lt;7,4,5)))))</f>
        <v>0</v>
      </c>
      <c r="M21" s="69">
        <f>IF(OR(F21="N/A",F21=0),0,IF(F21=1,1,IF(F21&lt;3,2,IF(F21&lt;5,3,IF(F21&lt;7,4,5)))))</f>
        <v>0</v>
      </c>
      <c r="N21" s="79">
        <f>IF(OR(H21="N/A",H21=0),0,IF(H21=1,1,IF(H21&lt;3,2,IF(H21&lt;5,3,IF(H21&lt;7,4,5)))))</f>
        <v>0</v>
      </c>
      <c r="O21" s="51"/>
      <c r="P21" s="81"/>
      <c r="Q21" s="51"/>
      <c r="R21" s="81"/>
      <c r="S21" s="51"/>
      <c r="T21" s="84"/>
    </row>
    <row r="22" spans="1:20" ht="63">
      <c r="A22" s="62">
        <v>2.5</v>
      </c>
      <c r="B22" s="64" t="s">
        <v>52</v>
      </c>
      <c r="C22" s="13" t="s">
        <v>6</v>
      </c>
      <c r="D22" s="341">
        <f>data!G219</f>
        <v>0</v>
      </c>
      <c r="E22" s="342"/>
      <c r="F22" s="341">
        <f>data!H219</f>
        <v>0</v>
      </c>
      <c r="G22" s="342"/>
      <c r="H22" s="339">
        <f>data!I219</f>
        <v>0</v>
      </c>
      <c r="I22" s="340"/>
      <c r="J22" s="13"/>
      <c r="K22" s="13"/>
      <c r="L22" s="69">
        <f>IF(OR(D22="N/A",D22=0),0,IF(D22=1,1,IF(D22&lt;4,2,IF(D22&lt;6,3,IF(D22&lt;7,4,5)))))</f>
        <v>0</v>
      </c>
      <c r="M22" s="69">
        <f>IF(OR(F22="N/A",F22=0),0,IF(F22=1,1,IF(F22&lt;4,2,IF(F22&lt;6,3,IF(F22&lt;7,4,5)))))</f>
        <v>0</v>
      </c>
      <c r="N22" s="79">
        <f>IF(OR(H22="N/A",H22=0),0,IF(H22=1,1,IF(H22&lt;4,2,IF(H22&lt;6,3,IF(H22&lt;7,4,5)))))</f>
        <v>0</v>
      </c>
      <c r="O22" s="51"/>
      <c r="P22" s="81"/>
      <c r="Q22" s="51"/>
      <c r="R22" s="81"/>
      <c r="S22" s="51"/>
      <c r="T22" s="42"/>
    </row>
    <row r="23" spans="1:20" ht="42">
      <c r="A23" s="62">
        <v>2.6</v>
      </c>
      <c r="B23" s="64" t="s">
        <v>53</v>
      </c>
      <c r="C23" s="13" t="s">
        <v>6</v>
      </c>
      <c r="D23" s="341">
        <f>data!G226</f>
        <v>0</v>
      </c>
      <c r="E23" s="342"/>
      <c r="F23" s="341">
        <f>data!H226</f>
        <v>0</v>
      </c>
      <c r="G23" s="342"/>
      <c r="H23" s="339">
        <f>data!I226</f>
        <v>0</v>
      </c>
      <c r="I23" s="340"/>
      <c r="J23" s="13"/>
      <c r="K23" s="13"/>
      <c r="L23" s="69">
        <f>IF(OR(D23="N/A",D23=0),0,IF(D23=1,1,IF(D23&lt;4,2,IF(D23&lt;6,3,IF(D23&lt;7,4,5)))))</f>
        <v>0</v>
      </c>
      <c r="M23" s="69">
        <f>IF(OR(F23="N/A",F23=0),0,IF(F23=1,1,IF(F23&lt;4,2,IF(F23&lt;6,3,IF(F23&lt;7,4,5)))))</f>
        <v>0</v>
      </c>
      <c r="N23" s="79">
        <f>IF(OR(H23="N/A",H23=0),0,IF(H23=1,1,IF(H23&lt;4,2,IF(H23&lt;6,3,IF(H23&lt;7,4,5)))))</f>
        <v>0</v>
      </c>
      <c r="O23" s="51"/>
      <c r="P23" s="81"/>
      <c r="Q23" s="51"/>
      <c r="R23" s="81"/>
      <c r="S23" s="51"/>
      <c r="T23" s="42"/>
    </row>
    <row r="24" spans="1:20" ht="84">
      <c r="A24" s="62">
        <v>2.7</v>
      </c>
      <c r="B24" s="63" t="s">
        <v>54</v>
      </c>
      <c r="C24" s="12" t="s">
        <v>6</v>
      </c>
      <c r="D24" s="341">
        <f>data!G241</f>
        <v>0</v>
      </c>
      <c r="E24" s="342"/>
      <c r="F24" s="341">
        <f>data!H241</f>
        <v>0</v>
      </c>
      <c r="G24" s="342"/>
      <c r="H24" s="339">
        <f>data!I241</f>
        <v>0</v>
      </c>
      <c r="I24" s="340"/>
      <c r="J24" s="12"/>
      <c r="K24" s="12"/>
      <c r="L24" s="69">
        <f>IF(OR(D24="N/A",D24=0),0,IF(D24=1,1,IF(D24&lt;3,2,IF(D24&lt;4,3,IF(D24&lt;6,4,5)))))</f>
        <v>0</v>
      </c>
      <c r="M24" s="69">
        <f>IF(OR(F24="N/A",F24=0),0,IF(F24=1,1,IF(F24&lt;3,2,IF(F24&lt;4,3,IF(F24&lt;6,4,5)))))</f>
        <v>0</v>
      </c>
      <c r="N24" s="79">
        <f>IF(OR(H24="N/A",H24=0),0,IF(H24=1,1,IF(H24&lt;3,2,IF(H24&lt;4,3,IF(H24&lt;6,4,5)))))</f>
        <v>0</v>
      </c>
      <c r="O24" s="52"/>
      <c r="P24" s="82"/>
      <c r="Q24" s="52"/>
      <c r="R24" s="82"/>
      <c r="S24" s="52"/>
      <c r="T24" s="42"/>
    </row>
    <row r="25" spans="1:20" ht="84">
      <c r="A25" s="62">
        <v>2.8</v>
      </c>
      <c r="B25" s="63" t="s">
        <v>55</v>
      </c>
      <c r="C25" s="12" t="s">
        <v>6</v>
      </c>
      <c r="D25" s="341">
        <f>data!G242</f>
        <v>0</v>
      </c>
      <c r="E25" s="342"/>
      <c r="F25" s="341">
        <f>data!H242</f>
        <v>0</v>
      </c>
      <c r="G25" s="342"/>
      <c r="H25" s="339">
        <f>data!I242</f>
        <v>0</v>
      </c>
      <c r="I25" s="340"/>
      <c r="J25" s="12"/>
      <c r="K25" s="12"/>
      <c r="L25" s="69">
        <f>IF(OR(D25="N/A",D25=0),0,IF(D25=1,1,IF(D25&lt;3,2,IF(D25&lt;4,3,IF(D25&lt;5,4,5)))))</f>
        <v>0</v>
      </c>
      <c r="M25" s="69">
        <f>IF(OR(F25="N/A",F25=0),0,IF(F25=1,1,IF(F25&lt;3,2,IF(F25&lt;4,3,IF(F25&lt;5,4,5)))))</f>
        <v>0</v>
      </c>
      <c r="N25" s="79">
        <f>IF(OR(H25="N/A",H25=0),0,IF(H25=1,1,IF(H25&lt;3,2,IF(H25&lt;4,3,IF(H25&lt;5,4,5)))))</f>
        <v>0</v>
      </c>
      <c r="O25" s="52"/>
      <c r="P25" s="82"/>
      <c r="Q25" s="52"/>
      <c r="R25" s="82"/>
      <c r="S25" s="52"/>
      <c r="T25" s="42"/>
    </row>
    <row r="26" spans="1:20" ht="21.75">
      <c r="A26" s="361" t="s">
        <v>56</v>
      </c>
      <c r="B26" s="362"/>
      <c r="C26" s="362"/>
      <c r="D26" s="362"/>
      <c r="E26" s="362"/>
      <c r="F26" s="362"/>
      <c r="G26" s="362"/>
      <c r="H26" s="362"/>
      <c r="I26" s="9"/>
      <c r="J26" s="9"/>
      <c r="K26" s="9"/>
      <c r="L26" s="71">
        <f>SUM(L27,L28,L29)/3</f>
        <v>0</v>
      </c>
      <c r="M26" s="71">
        <f>SUM(M27,M28,M29)/3</f>
        <v>0</v>
      </c>
      <c r="N26" s="71">
        <f>SUM(N27,N28,N29)/3</f>
        <v>0</v>
      </c>
      <c r="O26" s="10">
        <f>COUNTIF(O27:O29,"/")</f>
        <v>0</v>
      </c>
      <c r="P26" s="10">
        <f>COUNTIF(P27:P29,"/")</f>
        <v>0</v>
      </c>
      <c r="Q26" s="10">
        <f>COUNTIF(Q27:Q29,"/")</f>
        <v>0</v>
      </c>
      <c r="R26" s="10">
        <f>COUNTIF(R27:R29,"/")</f>
        <v>0</v>
      </c>
      <c r="S26" s="44"/>
      <c r="T26" s="42"/>
    </row>
    <row r="27" spans="1:20" s="23" customFormat="1" ht="63">
      <c r="A27" s="62">
        <v>3.1</v>
      </c>
      <c r="B27" s="63" t="s">
        <v>57</v>
      </c>
      <c r="C27" s="12" t="s">
        <v>6</v>
      </c>
      <c r="D27" s="341">
        <f>data!G249</f>
        <v>0</v>
      </c>
      <c r="E27" s="342"/>
      <c r="F27" s="341">
        <f>data!H249</f>
        <v>0</v>
      </c>
      <c r="G27" s="342"/>
      <c r="H27" s="339">
        <f>data!I249</f>
        <v>0</v>
      </c>
      <c r="I27" s="340"/>
      <c r="J27" s="12"/>
      <c r="K27" s="12"/>
      <c r="L27" s="69">
        <f>IF(OR(D27="N/A",D27=0),0,IF(D27=1,1,IF(D27&lt;4,2,IF(D27&lt;6,3,IF(D27&lt;7,4,5)))))</f>
        <v>0</v>
      </c>
      <c r="M27" s="69">
        <f>IF(OR(F27="N/A",F27=0),0,IF(F27=1,1,IF(F27&lt;4,2,IF(F27&lt;6,3,IF(F27&lt;7,4,5)))))</f>
        <v>0</v>
      </c>
      <c r="N27" s="79">
        <f>IF(OR(H27="N/A",H27=0),0,IF(H27=1,1,IF(H27&lt;4,2,IF(H27&lt;6,3,IF(H27&lt;7,4,5)))))</f>
        <v>0</v>
      </c>
      <c r="O27" s="12"/>
      <c r="P27" s="78"/>
      <c r="Q27" s="12"/>
      <c r="R27" s="78"/>
      <c r="S27" s="12"/>
      <c r="T27" s="46"/>
    </row>
    <row r="28" spans="1:20" s="23" customFormat="1" ht="42">
      <c r="A28" s="62">
        <v>3.2</v>
      </c>
      <c r="B28" s="63" t="s">
        <v>58</v>
      </c>
      <c r="C28" s="12" t="s">
        <v>6</v>
      </c>
      <c r="D28" s="341">
        <f>data!G262</f>
        <v>0</v>
      </c>
      <c r="E28" s="342"/>
      <c r="F28" s="341">
        <f>data!H262</f>
        <v>0</v>
      </c>
      <c r="G28" s="342"/>
      <c r="H28" s="339">
        <f>data!I262</f>
        <v>0</v>
      </c>
      <c r="I28" s="340"/>
      <c r="J28" s="12"/>
      <c r="K28" s="12"/>
      <c r="L28" s="69">
        <f>IF(OR(D28="N/A",D28=0),0,IF(D28=1,1,IF(D28&lt;3,2,IF(D28&lt;5,3,IF(D28&lt;6,4,5)))))</f>
        <v>0</v>
      </c>
      <c r="M28" s="69">
        <f>IF(OR(F28="N/A",F28=0),0,IF(F28=1,1,IF(F28&lt;3,2,IF(F28&lt;5,3,IF(F28&lt;6,4,5)))))</f>
        <v>0</v>
      </c>
      <c r="N28" s="79">
        <f>IF(OR(H28="N/A",H28=0),0,IF(H28=1,1,IF(H28&lt;3,2,IF(H28&lt;5,3,IF(H28&lt;6,4,5)))))</f>
        <v>0</v>
      </c>
      <c r="O28" s="12"/>
      <c r="P28" s="78"/>
      <c r="Q28" s="12"/>
      <c r="R28" s="78"/>
      <c r="S28" s="12"/>
      <c r="T28" s="46"/>
    </row>
    <row r="29" spans="1:20" s="23" customFormat="1" ht="63">
      <c r="A29" s="62">
        <v>3.3</v>
      </c>
      <c r="B29" s="63" t="s">
        <v>59</v>
      </c>
      <c r="C29" s="12" t="s">
        <v>6</v>
      </c>
      <c r="D29" s="341">
        <f>data!G275</f>
        <v>0</v>
      </c>
      <c r="E29" s="342"/>
      <c r="F29" s="341">
        <f>data!H275</f>
        <v>0</v>
      </c>
      <c r="G29" s="342"/>
      <c r="H29" s="339">
        <f>data!I275</f>
        <v>0</v>
      </c>
      <c r="I29" s="340"/>
      <c r="J29" s="12"/>
      <c r="K29" s="12"/>
      <c r="L29" s="69">
        <f>IF(OR(D29="N/A",D29=0),0,IF(D29=1,1,IF(D29&lt;3,2,IF(D29&lt;4,3,IF(D29&lt;5,4,5)))))</f>
        <v>0</v>
      </c>
      <c r="M29" s="69">
        <f>IF(OR(F29="N/A",F29=0),0,IF(F29=1,1,IF(F29&lt;3,2,IF(F29&lt;4,3,IF(F29&lt;5,4,5)))))</f>
        <v>0</v>
      </c>
      <c r="N29" s="79">
        <f>IF(OR(H29="N/A",H29=0),0,IF(H29=1,1,IF(H29&lt;3,2,IF(H29&lt;4,3,IF(H29&lt;5,4,5)))))</f>
        <v>0</v>
      </c>
      <c r="O29" s="12"/>
      <c r="P29" s="78"/>
      <c r="Q29" s="12"/>
      <c r="R29" s="78"/>
      <c r="S29" s="12"/>
      <c r="T29" s="46"/>
    </row>
    <row r="30" spans="1:20" ht="21.75">
      <c r="A30" s="361" t="s">
        <v>216</v>
      </c>
      <c r="B30" s="362"/>
      <c r="C30" s="362"/>
      <c r="D30" s="362"/>
      <c r="E30" s="362"/>
      <c r="F30" s="362"/>
      <c r="G30" s="362"/>
      <c r="H30" s="362"/>
      <c r="I30" s="9"/>
      <c r="J30" s="9"/>
      <c r="K30" s="9"/>
      <c r="L30" s="71">
        <f>SUM(L31,L32,L33)/3</f>
        <v>0</v>
      </c>
      <c r="M30" s="71">
        <f>SUM(M31,M32,M33)/3</f>
        <v>0</v>
      </c>
      <c r="N30" s="71">
        <f>SUM(N31,N32,N33)/3</f>
        <v>0</v>
      </c>
      <c r="O30" s="10">
        <f>COUNTIF(O31:O34,"/")</f>
        <v>0</v>
      </c>
      <c r="P30" s="10">
        <f>COUNTIF(P31:P34,"/")</f>
        <v>0</v>
      </c>
      <c r="Q30" s="10">
        <f>COUNTIF(Q31:Q34,"/")</f>
        <v>0</v>
      </c>
      <c r="R30" s="10">
        <f>COUNTIF(R31:R34,"/")</f>
        <v>0</v>
      </c>
      <c r="S30" s="45"/>
      <c r="T30" s="42"/>
    </row>
    <row r="31" spans="1:20" s="23" customFormat="1" ht="63">
      <c r="A31" s="62">
        <v>4.1</v>
      </c>
      <c r="B31" s="63" t="s">
        <v>60</v>
      </c>
      <c r="C31" s="12" t="s">
        <v>6</v>
      </c>
      <c r="D31" s="341">
        <f>data!G279</f>
        <v>0</v>
      </c>
      <c r="E31" s="342"/>
      <c r="F31" s="341">
        <f>data!H279</f>
        <v>0</v>
      </c>
      <c r="G31" s="342"/>
      <c r="H31" s="339">
        <f>data!I279</f>
        <v>0</v>
      </c>
      <c r="I31" s="340"/>
      <c r="J31" s="12"/>
      <c r="K31" s="12"/>
      <c r="L31" s="69">
        <f>IF(OR(D31="N/A",D31=0),0,IF(D31=1,1,IF(D31&lt;4,2,IF(D31&lt;6,3,IF(D31&lt;7,4,5)))))</f>
        <v>0</v>
      </c>
      <c r="M31" s="69">
        <f>IF(OR(F31="N/A",F31=0),0,IF(F31=1,1,IF(F31&lt;4,2,IF(F31&lt;6,3,IF(F31&lt;7,4,5)))))</f>
        <v>0</v>
      </c>
      <c r="N31" s="79">
        <f>IF(OR(H31="N/A",H31=0),0,IF(H31=1,1,IF(H31&lt;4,2,IF(H31&lt;6,3,IF(H31&lt;7,4,5)))))</f>
        <v>0</v>
      </c>
      <c r="O31" s="12"/>
      <c r="P31" s="78"/>
      <c r="Q31" s="12"/>
      <c r="R31" s="78"/>
      <c r="S31" s="12"/>
      <c r="T31" s="46"/>
    </row>
    <row r="32" spans="1:20" s="23" customFormat="1" ht="84">
      <c r="A32" s="62">
        <v>4.2</v>
      </c>
      <c r="B32" s="63" t="s">
        <v>61</v>
      </c>
      <c r="C32" s="12" t="s">
        <v>6</v>
      </c>
      <c r="D32" s="341">
        <f>data!G288</f>
        <v>0</v>
      </c>
      <c r="E32" s="342"/>
      <c r="F32" s="341">
        <f>data!H288</f>
        <v>0</v>
      </c>
      <c r="G32" s="342"/>
      <c r="H32" s="339">
        <f>data!I288</f>
        <v>0</v>
      </c>
      <c r="I32" s="340"/>
      <c r="J32" s="12"/>
      <c r="K32" s="12"/>
      <c r="L32" s="69">
        <f>IF(OR(D32="N/A",D32=0),0,IF(D32=1,1,IF(D32&lt;3,2,IF(D32&lt;4,3,IF(D32&lt;6,4,5)))))</f>
        <v>0</v>
      </c>
      <c r="M32" s="69">
        <f>IF(OR(F32="N/A",F32=0),0,IF(F32=1,1,IF(F32&lt;3,2,IF(F32&lt;4,3,IF(F32&lt;6,4,5)))))</f>
        <v>0</v>
      </c>
      <c r="N32" s="79">
        <f>IF(OR(H32="N/A",H32=0),0,IF(H32=1,1,IF(H32&lt;3,2,IF(H32&lt;4,3,IF(H32&lt;6,4,5)))))</f>
        <v>0</v>
      </c>
      <c r="O32" s="12"/>
      <c r="P32" s="78"/>
      <c r="Q32" s="12"/>
      <c r="R32" s="78"/>
      <c r="S32" s="12"/>
      <c r="T32" s="46"/>
    </row>
    <row r="33" spans="1:20" s="23" customFormat="1" ht="32.25" customHeight="1">
      <c r="A33" s="369">
        <v>4.3</v>
      </c>
      <c r="B33" s="366" t="s">
        <v>62</v>
      </c>
      <c r="C33" s="365" t="s">
        <v>18</v>
      </c>
      <c r="D33" s="24">
        <f>data!G282</f>
        <v>0</v>
      </c>
      <c r="E33" s="359" t="str">
        <f>IF(D34=0,"0",D33/D34)</f>
        <v>0</v>
      </c>
      <c r="F33" s="24">
        <f>data!H282</f>
        <v>0</v>
      </c>
      <c r="G33" s="359" t="str">
        <f>IF(F34=0,"0",F33/F34)</f>
        <v>0</v>
      </c>
      <c r="H33" s="77">
        <f>data!I282</f>
        <v>0</v>
      </c>
      <c r="I33" s="360" t="str">
        <f>IF(H34=0,"0",H33/H34)</f>
        <v>0</v>
      </c>
      <c r="J33" s="363"/>
      <c r="K33" s="363"/>
      <c r="L33" s="370">
        <f>IF((E33*5/T33)&lt;=5,(E33*5/T33),5)</f>
        <v>0</v>
      </c>
      <c r="M33" s="370">
        <f>IF((G33*5/T33)&lt;=5,(G33*5/T33),5)</f>
        <v>0</v>
      </c>
      <c r="N33" s="371">
        <f>IF((I33*5/T33)&lt;=5,(I33*5/T33),5)</f>
        <v>0</v>
      </c>
      <c r="O33" s="365"/>
      <c r="P33" s="368"/>
      <c r="Q33" s="365"/>
      <c r="R33" s="368"/>
      <c r="S33" s="343"/>
      <c r="T33" s="72">
        <v>180000</v>
      </c>
    </row>
    <row r="34" spans="1:20" s="23" customFormat="1" ht="32.25" customHeight="1">
      <c r="A34" s="369"/>
      <c r="B34" s="367"/>
      <c r="C34" s="365"/>
      <c r="D34" s="25">
        <f>(data!G159+data!G277)-(data!G160+data!G278)</f>
        <v>0</v>
      </c>
      <c r="E34" s="359"/>
      <c r="F34" s="25">
        <f>(data!H159+data!H277)-(data!H160+data!H278)</f>
        <v>0</v>
      </c>
      <c r="G34" s="359"/>
      <c r="H34" s="77">
        <f>(data!I159+data!I277)-(data!I160+data!I278)</f>
        <v>0</v>
      </c>
      <c r="I34" s="360"/>
      <c r="J34" s="364"/>
      <c r="K34" s="364"/>
      <c r="L34" s="370"/>
      <c r="M34" s="370"/>
      <c r="N34" s="371"/>
      <c r="O34" s="365"/>
      <c r="P34" s="368"/>
      <c r="Q34" s="365"/>
      <c r="R34" s="368"/>
      <c r="S34" s="344"/>
      <c r="T34" s="46"/>
    </row>
    <row r="35" spans="1:20" ht="21">
      <c r="A35" s="361" t="s">
        <v>218</v>
      </c>
      <c r="B35" s="362"/>
      <c r="C35" s="362"/>
      <c r="D35" s="362"/>
      <c r="E35" s="362"/>
      <c r="F35" s="362"/>
      <c r="G35" s="362"/>
      <c r="H35" s="362"/>
      <c r="I35" s="9"/>
      <c r="J35" s="44"/>
      <c r="K35" s="44"/>
      <c r="L35" s="71">
        <f>SUM(L36,L37)/2</f>
        <v>0</v>
      </c>
      <c r="M35" s="71">
        <f>SUM(M36,M37)/2</f>
        <v>0</v>
      </c>
      <c r="N35" s="71">
        <f>SUM(N36,N37)/2</f>
        <v>0</v>
      </c>
      <c r="O35" s="20">
        <f>COUNTIF(O36:O37,"/")</f>
        <v>0</v>
      </c>
      <c r="P35" s="20">
        <f>COUNTIF(P36:P37,"/")</f>
        <v>0</v>
      </c>
      <c r="Q35" s="20">
        <f>COUNTIF(Q36:Q37,"/")</f>
        <v>0</v>
      </c>
      <c r="R35" s="20">
        <f>COUNTIF(R36:R37,"/")</f>
        <v>0</v>
      </c>
      <c r="S35" s="44"/>
      <c r="T35" s="42"/>
    </row>
    <row r="36" spans="1:20" s="23" customFormat="1" ht="42">
      <c r="A36" s="62">
        <v>5.1</v>
      </c>
      <c r="B36" s="63" t="s">
        <v>63</v>
      </c>
      <c r="C36" s="12" t="s">
        <v>6</v>
      </c>
      <c r="D36" s="341">
        <f>data!G328</f>
        <v>0</v>
      </c>
      <c r="E36" s="342"/>
      <c r="F36" s="341">
        <f>data!H328</f>
        <v>0</v>
      </c>
      <c r="G36" s="342"/>
      <c r="H36" s="339">
        <f>data!I328</f>
        <v>0</v>
      </c>
      <c r="I36" s="340"/>
      <c r="J36" s="22"/>
      <c r="K36" s="22"/>
      <c r="L36" s="73">
        <f>IF(OR(D36="N/A",D36=0),0,IF(D36=1,1,IF(D36&lt;3,2,IF(D36&lt;4,3,IF(D36&lt;5,4,5)))))</f>
        <v>0</v>
      </c>
      <c r="M36" s="73">
        <f>IF(OR(F36="N/A",F36=0),0,IF(F36=1,1,IF(F36&lt;3,2,IF(F36&lt;4,3,IF(F36&lt;5,4,5)))))</f>
        <v>0</v>
      </c>
      <c r="N36" s="80">
        <f>IF(OR(H36="N/A",H36=0),0,IF(H36=1,1,IF(H36&lt;3,2,IF(H36&lt;4,3,IF(H36&lt;5,4,5)))))</f>
        <v>0</v>
      </c>
      <c r="O36" s="12"/>
      <c r="P36" s="78"/>
      <c r="Q36" s="12"/>
      <c r="R36" s="78"/>
      <c r="S36" s="12"/>
      <c r="T36" s="46"/>
    </row>
    <row r="37" spans="1:20" s="23" customFormat="1" ht="42">
      <c r="A37" s="50">
        <v>5.2</v>
      </c>
      <c r="B37" s="65" t="s">
        <v>105</v>
      </c>
      <c r="C37" s="12" t="s">
        <v>6</v>
      </c>
      <c r="D37" s="341">
        <f>data!G336</f>
        <v>0</v>
      </c>
      <c r="E37" s="342"/>
      <c r="F37" s="341">
        <f>data!H336</f>
        <v>0</v>
      </c>
      <c r="G37" s="342"/>
      <c r="H37" s="339">
        <f>data!I336</f>
        <v>0</v>
      </c>
      <c r="I37" s="340"/>
      <c r="J37" s="12"/>
      <c r="K37" s="12"/>
      <c r="L37" s="73">
        <f>IF(OR(D37="N/A",D37=0),0,IF(D37=1,1,IF(D37&lt;3,2,IF(D37&lt;4,3,IF(D37&lt;5,4,5)))))</f>
        <v>0</v>
      </c>
      <c r="M37" s="73">
        <f>IF(OR(F37="N/A",F37=0),0,IF(F37=1,1,IF(F37&lt;3,2,IF(F37&lt;4,3,IF(F37&lt;5,4,5)))))</f>
        <v>0</v>
      </c>
      <c r="N37" s="80">
        <f>IF(OR(H37="N/A",H37=0),0,IF(H37=1,1,IF(H37&lt;3,2,IF(H37&lt;4,3,IF(H37&lt;5,4,5)))))</f>
        <v>0</v>
      </c>
      <c r="O37" s="12"/>
      <c r="P37" s="78"/>
      <c r="Q37" s="12"/>
      <c r="R37" s="78"/>
      <c r="S37" s="12"/>
      <c r="T37" s="46"/>
    </row>
    <row r="38" spans="1:20" ht="21">
      <c r="A38" s="361" t="s">
        <v>219</v>
      </c>
      <c r="B38" s="362"/>
      <c r="C38" s="362"/>
      <c r="D38" s="362"/>
      <c r="E38" s="362"/>
      <c r="F38" s="362"/>
      <c r="G38" s="362"/>
      <c r="H38" s="362"/>
      <c r="I38" s="9"/>
      <c r="J38" s="44"/>
      <c r="K38" s="44"/>
      <c r="L38" s="71">
        <f>SUM(L39)/1</f>
        <v>0</v>
      </c>
      <c r="M38" s="71">
        <f>SUM(M39)/1</f>
        <v>0</v>
      </c>
      <c r="N38" s="71">
        <f>SUM(N39)/1</f>
        <v>0</v>
      </c>
      <c r="O38" s="20">
        <f>COUNTIF(O39,"/")</f>
        <v>0</v>
      </c>
      <c r="P38" s="20">
        <f>COUNTIF(P39,"/")</f>
        <v>0</v>
      </c>
      <c r="Q38" s="20">
        <f>COUNTIF(Q39,"/")</f>
        <v>0</v>
      </c>
      <c r="R38" s="20">
        <f>COUNTIF(R39,"/")</f>
        <v>0</v>
      </c>
      <c r="S38" s="44"/>
      <c r="T38" s="42"/>
    </row>
    <row r="39" spans="1:20" s="23" customFormat="1" ht="42">
      <c r="A39" s="62">
        <v>6.1</v>
      </c>
      <c r="B39" s="63" t="s">
        <v>106</v>
      </c>
      <c r="C39" s="12" t="s">
        <v>6</v>
      </c>
      <c r="D39" s="341">
        <f>data!G344</f>
        <v>0</v>
      </c>
      <c r="E39" s="342"/>
      <c r="F39" s="341">
        <f>data!H344</f>
        <v>0</v>
      </c>
      <c r="G39" s="342"/>
      <c r="H39" s="339">
        <f>data!I344</f>
        <v>0</v>
      </c>
      <c r="I39" s="340"/>
      <c r="J39" s="13"/>
      <c r="K39" s="13"/>
      <c r="L39" s="73">
        <f>IF(OR(D39="N/A",D39=0),0,IF(D39=1,1,IF(D39&lt;3,2,IF(D39&lt;4,3,IF(D39&lt;5,4,5)))))</f>
        <v>0</v>
      </c>
      <c r="M39" s="73">
        <f>IF(OR(F39="N/A",F39=0),0,IF(F39=1,1,IF(F39&lt;3,2,IF(F39&lt;4,3,IF(F39&lt;5,4,5)))))</f>
        <v>0</v>
      </c>
      <c r="N39" s="73">
        <f>IF(OR(H39="N/A",H39=0),0,IF(H39=1,1,IF(H39&lt;3,2,IF(H39&lt;4,3,IF(H39&lt;5,4,5)))))</f>
        <v>0</v>
      </c>
      <c r="O39" s="12"/>
      <c r="P39" s="78"/>
      <c r="Q39" s="12"/>
      <c r="R39" s="78"/>
      <c r="S39" s="12"/>
      <c r="T39" s="46"/>
    </row>
    <row r="40" spans="1:20" ht="21">
      <c r="A40" s="361" t="s">
        <v>16</v>
      </c>
      <c r="B40" s="362"/>
      <c r="C40" s="362"/>
      <c r="D40" s="362"/>
      <c r="E40" s="362"/>
      <c r="F40" s="362"/>
      <c r="G40" s="362"/>
      <c r="H40" s="362"/>
      <c r="I40" s="9"/>
      <c r="J40" s="44"/>
      <c r="K40" s="44"/>
      <c r="L40" s="71">
        <f>SUM(L41,L42,L43,L44)/4</f>
        <v>0</v>
      </c>
      <c r="M40" s="71">
        <f>SUM(M41,M42,M43,M44)/4</f>
        <v>0</v>
      </c>
      <c r="N40" s="71">
        <f>SUM(N41,N42,N43,N44)/4</f>
        <v>0</v>
      </c>
      <c r="O40" s="20">
        <f>COUNTIF(O41:O44,"/")</f>
        <v>0</v>
      </c>
      <c r="P40" s="20">
        <f>COUNTIF(P41:P44,"/")</f>
        <v>0</v>
      </c>
      <c r="Q40" s="20">
        <f>COUNTIF(Q41:Q44,"/")</f>
        <v>0</v>
      </c>
      <c r="R40" s="20">
        <f>COUNTIF(R41:R44,"/")</f>
        <v>0</v>
      </c>
      <c r="S40" s="44"/>
      <c r="T40" s="42"/>
    </row>
    <row r="41" spans="1:20" s="23" customFormat="1" ht="42">
      <c r="A41" s="62">
        <v>7.1</v>
      </c>
      <c r="B41" s="63" t="s">
        <v>107</v>
      </c>
      <c r="C41" s="12" t="s">
        <v>6</v>
      </c>
      <c r="D41" s="341">
        <f>data!G361</f>
        <v>0</v>
      </c>
      <c r="E41" s="342"/>
      <c r="F41" s="341">
        <f>data!H361</f>
        <v>0</v>
      </c>
      <c r="G41" s="342"/>
      <c r="H41" s="339">
        <f>data!I361</f>
        <v>0</v>
      </c>
      <c r="I41" s="340"/>
      <c r="J41" s="12"/>
      <c r="K41" s="12"/>
      <c r="L41" s="73">
        <f>IF(OR(D41="N/A",D41=0),0,IF(D41=1,1,IF(D41&lt;3,2,IF(D41&lt;4,3,IF(D41&lt;5,4,5)))))</f>
        <v>0</v>
      </c>
      <c r="M41" s="73">
        <f>IF(OR(F41="N/A",F41=0),0,IF(F41=1,1,IF(F41&lt;3,2,IF(F41&lt;4,3,IF(F41&lt;5,4,5)))))</f>
        <v>0</v>
      </c>
      <c r="N41" s="80">
        <f>IF(OR(H41="N/A",H41=0),0,IF(H41=1,1,IF(H41&lt;3,2,IF(H41&lt;4,3,IF(H41&lt;5,4,5)))))</f>
        <v>0</v>
      </c>
      <c r="O41" s="12"/>
      <c r="P41" s="78"/>
      <c r="Q41" s="12"/>
      <c r="R41" s="78"/>
      <c r="S41" s="12"/>
      <c r="T41" s="46"/>
    </row>
    <row r="42" spans="1:20" s="23" customFormat="1" ht="21">
      <c r="A42" s="62">
        <v>7.2</v>
      </c>
      <c r="B42" s="63" t="s">
        <v>65</v>
      </c>
      <c r="C42" s="12" t="s">
        <v>6</v>
      </c>
      <c r="D42" s="341">
        <f>data!G363</f>
        <v>0</v>
      </c>
      <c r="E42" s="342"/>
      <c r="F42" s="341">
        <f>data!H363</f>
        <v>0</v>
      </c>
      <c r="G42" s="342"/>
      <c r="H42" s="339">
        <f>data!I363</f>
        <v>0</v>
      </c>
      <c r="I42" s="340"/>
      <c r="J42" s="12"/>
      <c r="K42" s="12"/>
      <c r="L42" s="73">
        <f>IF(OR(D42="N/A",D42=0),0,IF(D42=1,1,IF(D42&lt;3,2,IF(D42&lt;4,3,IF(D42&lt;5,4,5)))))</f>
        <v>0</v>
      </c>
      <c r="M42" s="73">
        <f>IF(OR(F42="N/A",F42=0),0,IF(F42=1,1,IF(F42&lt;3,2,IF(F42&lt;4,3,IF(F42&lt;5,4,5)))))</f>
        <v>0</v>
      </c>
      <c r="N42" s="80">
        <f>IF(OR(H42="N/A",H42=0),0,IF(H42=1,1,IF(H42&lt;3,2,IF(H42&lt;4,3,IF(H42&lt;5,4,5)))))</f>
        <v>0</v>
      </c>
      <c r="O42" s="12"/>
      <c r="P42" s="78"/>
      <c r="Q42" s="12"/>
      <c r="R42" s="78"/>
      <c r="S42" s="12"/>
      <c r="T42" s="46"/>
    </row>
    <row r="43" spans="1:20" s="23" customFormat="1" ht="42">
      <c r="A43" s="62">
        <v>7.3</v>
      </c>
      <c r="B43" s="63" t="s">
        <v>66</v>
      </c>
      <c r="C43" s="12" t="s">
        <v>6</v>
      </c>
      <c r="D43" s="341">
        <f>data!G364</f>
        <v>0</v>
      </c>
      <c r="E43" s="342"/>
      <c r="F43" s="341">
        <f>data!H364</f>
        <v>0</v>
      </c>
      <c r="G43" s="342"/>
      <c r="H43" s="339">
        <f>data!I364</f>
        <v>0</v>
      </c>
      <c r="I43" s="340"/>
      <c r="J43" s="12"/>
      <c r="K43" s="12"/>
      <c r="L43" s="73">
        <f>IF(OR(D43="N/A",D43=0),0,IF(D43=1,1,IF(D43&lt;3,2,IF(D43&lt;4,3,IF(D43&lt;5,4,5)))))</f>
        <v>0</v>
      </c>
      <c r="M43" s="73">
        <f>IF(OR(F43="N/A",F43=0),0,IF(F43=1,1,IF(F43&lt;3,2,IF(F43&lt;4,3,IF(F43&lt;5,4,5)))))</f>
        <v>0</v>
      </c>
      <c r="N43" s="80">
        <f>IF(OR(H43="N/A",H43=0),0,IF(H43=1,1,IF(H43&lt;3,2,IF(H43&lt;4,3,IF(H43&lt;5,4,5)))))</f>
        <v>0</v>
      </c>
      <c r="O43" s="12"/>
      <c r="P43" s="78"/>
      <c r="Q43" s="12"/>
      <c r="R43" s="78"/>
      <c r="S43" s="12"/>
      <c r="T43" s="46"/>
    </row>
    <row r="44" spans="1:20" s="23" customFormat="1" ht="21">
      <c r="A44" s="62">
        <v>7.4</v>
      </c>
      <c r="B44" s="63" t="s">
        <v>67</v>
      </c>
      <c r="C44" s="12" t="s">
        <v>6</v>
      </c>
      <c r="D44" s="341">
        <f>data!G365</f>
        <v>0</v>
      </c>
      <c r="E44" s="342"/>
      <c r="F44" s="341">
        <f>data!H365</f>
        <v>0</v>
      </c>
      <c r="G44" s="342"/>
      <c r="H44" s="339">
        <f>data!I365</f>
        <v>0</v>
      </c>
      <c r="I44" s="340"/>
      <c r="J44" s="12"/>
      <c r="K44" s="12"/>
      <c r="L44" s="73">
        <f>IF(OR(D44="N/A",D44=0),0,IF(D44=1,1,IF(D44&lt;3,2,IF(D44&lt;4,3,IF(D44&lt;5,4,5)))))</f>
        <v>0</v>
      </c>
      <c r="M44" s="73">
        <f>IF(OR(F44="N/A",F44=0),0,IF(F44=1,1,IF(F44&lt;3,2,IF(F44&lt;4,3,IF(F44&lt;5,4,5)))))</f>
        <v>0</v>
      </c>
      <c r="N44" s="80">
        <f>IF(OR(H44="N/A",H44=0),0,IF(H44=1,1,IF(H44&lt;3,2,IF(H44&lt;4,3,IF(H44&lt;5,4,5)))))</f>
        <v>0</v>
      </c>
      <c r="O44" s="12"/>
      <c r="P44" s="78"/>
      <c r="Q44" s="12"/>
      <c r="R44" s="78"/>
      <c r="S44" s="12"/>
      <c r="T44" s="46"/>
    </row>
    <row r="45" spans="1:20" ht="21">
      <c r="A45" s="361" t="s">
        <v>68</v>
      </c>
      <c r="B45" s="362"/>
      <c r="C45" s="362"/>
      <c r="D45" s="362"/>
      <c r="E45" s="362"/>
      <c r="F45" s="362"/>
      <c r="G45" s="362"/>
      <c r="H45" s="362"/>
      <c r="I45" s="9"/>
      <c r="J45" s="9"/>
      <c r="K45" s="9"/>
      <c r="L45" s="71">
        <f>SUM(L46)/1</f>
        <v>0</v>
      </c>
      <c r="M45" s="71">
        <f>SUM(M46)/1</f>
        <v>0</v>
      </c>
      <c r="N45" s="71">
        <f>SUM(N46)/1</f>
        <v>0</v>
      </c>
      <c r="O45" s="20">
        <f>COUNTIF(O46,"/")</f>
        <v>0</v>
      </c>
      <c r="P45" s="20">
        <f>COUNTIF(P46,"/")</f>
        <v>0</v>
      </c>
      <c r="Q45" s="20">
        <f>COUNTIF(Q46,"/")</f>
        <v>0</v>
      </c>
      <c r="R45" s="20">
        <f>COUNTIF(R46,"/")</f>
        <v>0</v>
      </c>
      <c r="S45" s="44"/>
      <c r="T45" s="42"/>
    </row>
    <row r="46" spans="1:20" s="23" customFormat="1" ht="21">
      <c r="A46" s="62">
        <v>8.1</v>
      </c>
      <c r="B46" s="63" t="s">
        <v>69</v>
      </c>
      <c r="C46" s="12" t="s">
        <v>6</v>
      </c>
      <c r="D46" s="341">
        <f>data!G374</f>
        <v>0</v>
      </c>
      <c r="E46" s="342"/>
      <c r="F46" s="341">
        <f>data!H374</f>
        <v>0</v>
      </c>
      <c r="G46" s="342"/>
      <c r="H46" s="339">
        <f>data!I374</f>
        <v>0</v>
      </c>
      <c r="I46" s="340"/>
      <c r="J46" s="12"/>
      <c r="K46" s="12"/>
      <c r="L46" s="73">
        <f>IF(OR(D46="N/A",D46=0),0,IF(D46=1,1,IF(D46&lt;4,2,IF(D46&lt;6,3,IF(D46&lt;7,4,5)))))</f>
        <v>0</v>
      </c>
      <c r="M46" s="73">
        <f>IF(OR(F46="N/A",F46=0),0,IF(F46=1,1,IF(F46&lt;4,2,IF(F46&lt;6,3,IF(F46&lt;7,4,5)))))</f>
        <v>0</v>
      </c>
      <c r="N46" s="80">
        <f>IF(OR(H46="N/A",H46=0),0,IF(H46=1,1,IF(H46&lt;4,2,IF(H46&lt;6,3,IF(H46&lt;7,4,5)))))</f>
        <v>0</v>
      </c>
      <c r="O46" s="12"/>
      <c r="P46" s="78"/>
      <c r="Q46" s="12"/>
      <c r="R46" s="78"/>
      <c r="S46" s="12"/>
      <c r="T46" s="46"/>
    </row>
    <row r="47" spans="1:20" ht="21">
      <c r="A47" s="361" t="s">
        <v>17</v>
      </c>
      <c r="B47" s="362"/>
      <c r="C47" s="362"/>
      <c r="D47" s="362"/>
      <c r="E47" s="362"/>
      <c r="F47" s="362"/>
      <c r="G47" s="362"/>
      <c r="H47" s="362"/>
      <c r="I47" s="9"/>
      <c r="J47" s="9"/>
      <c r="K47" s="9"/>
      <c r="L47" s="71">
        <f>SUM(L48)/1</f>
        <v>0</v>
      </c>
      <c r="M47" s="71">
        <f>SUM(M48)/1</f>
        <v>0</v>
      </c>
      <c r="N47" s="71">
        <f>SUM(N48)/1</f>
        <v>0</v>
      </c>
      <c r="O47" s="20">
        <f>COUNTIF(O48,"/")</f>
        <v>0</v>
      </c>
      <c r="P47" s="20">
        <f>COUNTIF(P48,"/")</f>
        <v>0</v>
      </c>
      <c r="Q47" s="20">
        <f>COUNTIF(Q48,"/")</f>
        <v>0</v>
      </c>
      <c r="R47" s="20">
        <f>COUNTIF(R48,"/")</f>
        <v>0</v>
      </c>
      <c r="S47" s="44"/>
      <c r="T47" s="42"/>
    </row>
    <row r="48" spans="1:20" s="23" customFormat="1" ht="42">
      <c r="A48" s="62">
        <v>9.1</v>
      </c>
      <c r="B48" s="63" t="s">
        <v>70</v>
      </c>
      <c r="C48" s="12" t="s">
        <v>6</v>
      </c>
      <c r="D48" s="341">
        <f>data!G384</f>
        <v>0</v>
      </c>
      <c r="E48" s="342"/>
      <c r="F48" s="341">
        <f>data!H384</f>
        <v>0</v>
      </c>
      <c r="G48" s="342"/>
      <c r="H48" s="339">
        <f>data!I384</f>
        <v>0</v>
      </c>
      <c r="I48" s="340"/>
      <c r="J48" s="12"/>
      <c r="K48" s="12"/>
      <c r="L48" s="73">
        <f>IF(OR(D48="N/A",D48=0),0,IF(D48=1,1,IF(D48&lt;4,2,IF(D48&lt;7,3,IF(D48&lt;9,4,5)))))</f>
        <v>0</v>
      </c>
      <c r="M48" s="73">
        <f>IF(OR(F48="N/A",F48=0),0,IF(F48=1,1,IF(F48&lt;4,2,IF(F48&lt;7,3,IF(F48&lt;9,4,5)))))</f>
        <v>0</v>
      </c>
      <c r="N48" s="80">
        <f>IF(OR(H48="N/A",H48=0),0,IF(H48=1,1,IF(H48&lt;4,2,IF(H48&lt;7,3,IF(H48&lt;9,4,5)))))</f>
        <v>0</v>
      </c>
      <c r="O48" s="12"/>
      <c r="P48" s="78"/>
      <c r="Q48" s="12"/>
      <c r="R48" s="78"/>
      <c r="S48" s="12"/>
      <c r="T48" s="46"/>
    </row>
    <row r="49" ht="21">
      <c r="T49" s="42"/>
    </row>
    <row r="50" ht="21">
      <c r="B50" s="26"/>
    </row>
    <row r="51" ht="21">
      <c r="B51" s="26"/>
    </row>
  </sheetData>
  <sheetProtection/>
  <mergeCells count="149">
    <mergeCell ref="K33:K34"/>
    <mergeCell ref="D27:E27"/>
    <mergeCell ref="F21:G21"/>
    <mergeCell ref="F22:G22"/>
    <mergeCell ref="F23:G23"/>
    <mergeCell ref="D25:E25"/>
    <mergeCell ref="D28:E28"/>
    <mergeCell ref="F28:G28"/>
    <mergeCell ref="F27:G27"/>
    <mergeCell ref="D32:E32"/>
    <mergeCell ref="B18:B20"/>
    <mergeCell ref="D24:E24"/>
    <mergeCell ref="D21:E21"/>
    <mergeCell ref="E15:E16"/>
    <mergeCell ref="D22:E22"/>
    <mergeCell ref="D23:E23"/>
    <mergeCell ref="D17:E17"/>
    <mergeCell ref="B15:B17"/>
    <mergeCell ref="J5:J8"/>
    <mergeCell ref="H21:I21"/>
    <mergeCell ref="J15:J16"/>
    <mergeCell ref="C18:C19"/>
    <mergeCell ref="A15:A17"/>
    <mergeCell ref="A1:R1"/>
    <mergeCell ref="A2:R2"/>
    <mergeCell ref="J4:K4"/>
    <mergeCell ref="O4:P5"/>
    <mergeCell ref="Q4:R5"/>
    <mergeCell ref="M5:N5"/>
    <mergeCell ref="D4:I4"/>
    <mergeCell ref="K5:K8"/>
    <mergeCell ref="D5:E5"/>
    <mergeCell ref="L4:N4"/>
    <mergeCell ref="S5:S8"/>
    <mergeCell ref="D6:G6"/>
    <mergeCell ref="H6:I6"/>
    <mergeCell ref="L6:M8"/>
    <mergeCell ref="N6:N8"/>
    <mergeCell ref="F5:I5"/>
    <mergeCell ref="O7:P7"/>
    <mergeCell ref="Q7:R7"/>
    <mergeCell ref="O8:P8"/>
    <mergeCell ref="F25:G25"/>
    <mergeCell ref="Q8:R8"/>
    <mergeCell ref="A10:I10"/>
    <mergeCell ref="A4:B8"/>
    <mergeCell ref="D12:E12"/>
    <mergeCell ref="F12:G12"/>
    <mergeCell ref="Q15:Q16"/>
    <mergeCell ref="R15:R16"/>
    <mergeCell ref="I15:I16"/>
    <mergeCell ref="H28:I28"/>
    <mergeCell ref="H22:I22"/>
    <mergeCell ref="H23:I23"/>
    <mergeCell ref="H24:I24"/>
    <mergeCell ref="H25:I25"/>
    <mergeCell ref="A26:H26"/>
    <mergeCell ref="G18:G19"/>
    <mergeCell ref="M15:M16"/>
    <mergeCell ref="N15:N16"/>
    <mergeCell ref="H12:I12"/>
    <mergeCell ref="M18:M19"/>
    <mergeCell ref="N18:N19"/>
    <mergeCell ref="L15:L16"/>
    <mergeCell ref="F32:G32"/>
    <mergeCell ref="D29:E29"/>
    <mergeCell ref="F29:G29"/>
    <mergeCell ref="H29:I29"/>
    <mergeCell ref="A30:H30"/>
    <mergeCell ref="H32:I32"/>
    <mergeCell ref="F31:G31"/>
    <mergeCell ref="H31:I31"/>
    <mergeCell ref="D31:E31"/>
    <mergeCell ref="Q33:Q34"/>
    <mergeCell ref="R33:R34"/>
    <mergeCell ref="L33:L34"/>
    <mergeCell ref="M33:M34"/>
    <mergeCell ref="N33:N34"/>
    <mergeCell ref="O33:O34"/>
    <mergeCell ref="J33:J34"/>
    <mergeCell ref="S33:S34"/>
    <mergeCell ref="D36:E36"/>
    <mergeCell ref="F36:G36"/>
    <mergeCell ref="H36:I36"/>
    <mergeCell ref="A35:H35"/>
    <mergeCell ref="C33:C34"/>
    <mergeCell ref="B33:B34"/>
    <mergeCell ref="P33:P34"/>
    <mergeCell ref="A33:A34"/>
    <mergeCell ref="E33:E34"/>
    <mergeCell ref="D48:E48"/>
    <mergeCell ref="F48:G48"/>
    <mergeCell ref="H48:I48"/>
    <mergeCell ref="D44:E44"/>
    <mergeCell ref="F44:G44"/>
    <mergeCell ref="H44:I44"/>
    <mergeCell ref="A45:H45"/>
    <mergeCell ref="A47:H47"/>
    <mergeCell ref="D46:E46"/>
    <mergeCell ref="F46:G46"/>
    <mergeCell ref="H46:I46"/>
    <mergeCell ref="D43:E43"/>
    <mergeCell ref="F39:G39"/>
    <mergeCell ref="H39:I39"/>
    <mergeCell ref="D41:E41"/>
    <mergeCell ref="F41:G41"/>
    <mergeCell ref="H41:I41"/>
    <mergeCell ref="F43:G43"/>
    <mergeCell ref="H43:I43"/>
    <mergeCell ref="F42:G42"/>
    <mergeCell ref="D20:E20"/>
    <mergeCell ref="H42:I42"/>
    <mergeCell ref="D42:E42"/>
    <mergeCell ref="D37:E37"/>
    <mergeCell ref="F37:G37"/>
    <mergeCell ref="H37:I37"/>
    <mergeCell ref="A38:H38"/>
    <mergeCell ref="D39:E39"/>
    <mergeCell ref="A40:H40"/>
    <mergeCell ref="F20:G20"/>
    <mergeCell ref="G33:G34"/>
    <mergeCell ref="I33:I34"/>
    <mergeCell ref="A13:H13"/>
    <mergeCell ref="D14:E14"/>
    <mergeCell ref="F14:G14"/>
    <mergeCell ref="H14:I14"/>
    <mergeCell ref="C15:C16"/>
    <mergeCell ref="F17:G17"/>
    <mergeCell ref="H17:I17"/>
    <mergeCell ref="Q18:Q19"/>
    <mergeCell ref="S15:S16"/>
    <mergeCell ref="E18:E19"/>
    <mergeCell ref="L18:L19"/>
    <mergeCell ref="O18:O19"/>
    <mergeCell ref="P18:P19"/>
    <mergeCell ref="O15:O16"/>
    <mergeCell ref="P15:P16"/>
    <mergeCell ref="J18:J19"/>
    <mergeCell ref="K18:K19"/>
    <mergeCell ref="A9:I9"/>
    <mergeCell ref="H20:I20"/>
    <mergeCell ref="H27:I27"/>
    <mergeCell ref="F24:G24"/>
    <mergeCell ref="S18:S19"/>
    <mergeCell ref="R18:R19"/>
    <mergeCell ref="I18:I19"/>
    <mergeCell ref="G15:G16"/>
    <mergeCell ref="K15:K16"/>
    <mergeCell ref="A18:A20"/>
  </mergeCells>
  <printOptions/>
  <pageMargins left="0.1968503937007874" right="0.2755905511811024" top="0.3937007874015748" bottom="0.35433070866141736" header="0.15748031496062992" footer="0.15748031496062992"/>
  <pageSetup cellComments="asDisplayed" horizontalDpi="600" verticalDpi="600" orientation="landscape" paperSize="9" scale="77" r:id="rId3"/>
  <headerFooter alignWithMargins="0">
    <oddHeader>&amp;R&amp;P</oddHeader>
  </headerFooter>
  <rowBreaks count="1" manualBreakCount="1">
    <brk id="25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="86" zoomScaleNormal="86" workbookViewId="0" topLeftCell="A4">
      <selection activeCell="L10" sqref="L10"/>
    </sheetView>
  </sheetViews>
  <sheetFormatPr defaultColWidth="9.140625" defaultRowHeight="12.75"/>
  <cols>
    <col min="1" max="1" width="6.57421875" style="5" customWidth="1"/>
    <col min="2" max="2" width="35.140625" style="5" customWidth="1"/>
    <col min="3" max="3" width="7.140625" style="5" bestFit="1" customWidth="1"/>
    <col min="4" max="4" width="7.8515625" style="5" bestFit="1" customWidth="1"/>
    <col min="5" max="5" width="12.57421875" style="5" customWidth="1"/>
    <col min="6" max="6" width="10.00390625" style="5" bestFit="1" customWidth="1"/>
    <col min="7" max="7" width="12.421875" style="5" customWidth="1"/>
    <col min="8" max="8" width="8.140625" style="5" bestFit="1" customWidth="1"/>
    <col min="9" max="9" width="12.421875" style="5" bestFit="1" customWidth="1"/>
    <col min="10" max="10" width="7.8515625" style="5" bestFit="1" customWidth="1"/>
    <col min="11" max="11" width="12.8515625" style="5" bestFit="1" customWidth="1"/>
    <col min="12" max="15" width="7.8515625" style="5" bestFit="1" customWidth="1"/>
    <col min="16" max="16" width="18.57421875" style="5" customWidth="1"/>
    <col min="17" max="17" width="5.8515625" style="5" customWidth="1"/>
    <col min="18" max="16384" width="9.140625" style="5" customWidth="1"/>
  </cols>
  <sheetData>
    <row r="1" spans="1:16" ht="29.25">
      <c r="A1" s="392" t="s">
        <v>510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26.25">
      <c r="A2" s="392" t="s">
        <v>33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15" ht="21">
      <c r="A3" s="4"/>
      <c r="B3" s="187"/>
      <c r="C3" s="4"/>
      <c r="D3" s="4"/>
      <c r="E3" s="18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42">
      <c r="A4" s="383" t="s">
        <v>3</v>
      </c>
      <c r="B4" s="384"/>
      <c r="C4" s="132" t="s">
        <v>1</v>
      </c>
      <c r="D4" s="379" t="s">
        <v>132</v>
      </c>
      <c r="E4" s="379"/>
      <c r="F4" s="379"/>
      <c r="G4" s="379"/>
      <c r="H4" s="379"/>
      <c r="I4" s="379"/>
      <c r="J4" s="379"/>
      <c r="K4" s="379"/>
      <c r="L4" s="376" t="s">
        <v>131</v>
      </c>
      <c r="M4" s="377"/>
      <c r="N4" s="377"/>
      <c r="O4" s="378"/>
      <c r="P4" s="6" t="s">
        <v>10</v>
      </c>
    </row>
    <row r="5" spans="1:16" ht="21">
      <c r="A5" s="385"/>
      <c r="B5" s="386"/>
      <c r="C5" s="133"/>
      <c r="D5" s="425">
        <v>2551</v>
      </c>
      <c r="E5" s="425"/>
      <c r="F5" s="379">
        <v>2552</v>
      </c>
      <c r="G5" s="379"/>
      <c r="H5" s="379">
        <v>2553</v>
      </c>
      <c r="I5" s="379"/>
      <c r="J5" s="379"/>
      <c r="K5" s="379"/>
      <c r="L5" s="6">
        <v>2551</v>
      </c>
      <c r="M5" s="6">
        <v>2552</v>
      </c>
      <c r="N5" s="379">
        <v>2553</v>
      </c>
      <c r="O5" s="379"/>
      <c r="P5" s="379" t="s">
        <v>11</v>
      </c>
    </row>
    <row r="6" spans="1:16" ht="21">
      <c r="A6" s="385"/>
      <c r="B6" s="386"/>
      <c r="C6" s="133"/>
      <c r="D6" s="376" t="s">
        <v>33</v>
      </c>
      <c r="E6" s="377"/>
      <c r="F6" s="377"/>
      <c r="G6" s="377"/>
      <c r="H6" s="377"/>
      <c r="I6" s="378"/>
      <c r="J6" s="379" t="s">
        <v>13</v>
      </c>
      <c r="K6" s="379"/>
      <c r="L6" s="431" t="s">
        <v>33</v>
      </c>
      <c r="M6" s="432"/>
      <c r="N6" s="433"/>
      <c r="O6" s="379" t="s">
        <v>13</v>
      </c>
      <c r="P6" s="379"/>
    </row>
    <row r="7" spans="1:16" ht="42">
      <c r="A7" s="385"/>
      <c r="B7" s="386"/>
      <c r="C7" s="133"/>
      <c r="D7" s="153" t="s">
        <v>14</v>
      </c>
      <c r="E7" s="16" t="s">
        <v>23</v>
      </c>
      <c r="F7" s="6" t="s">
        <v>14</v>
      </c>
      <c r="G7" s="16" t="s">
        <v>23</v>
      </c>
      <c r="H7" s="6" t="s">
        <v>14</v>
      </c>
      <c r="I7" s="16" t="s">
        <v>23</v>
      </c>
      <c r="J7" s="6" t="s">
        <v>14</v>
      </c>
      <c r="K7" s="16" t="s">
        <v>25</v>
      </c>
      <c r="L7" s="434"/>
      <c r="M7" s="435"/>
      <c r="N7" s="436"/>
      <c r="O7" s="379"/>
      <c r="P7" s="379"/>
    </row>
    <row r="8" spans="1:16" ht="42">
      <c r="A8" s="387"/>
      <c r="B8" s="388"/>
      <c r="C8" s="134"/>
      <c r="D8" s="153" t="s">
        <v>15</v>
      </c>
      <c r="E8" s="15" t="s">
        <v>24</v>
      </c>
      <c r="F8" s="6" t="s">
        <v>15</v>
      </c>
      <c r="G8" s="15" t="s">
        <v>24</v>
      </c>
      <c r="H8" s="6" t="s">
        <v>15</v>
      </c>
      <c r="I8" s="15" t="s">
        <v>24</v>
      </c>
      <c r="J8" s="6" t="s">
        <v>15</v>
      </c>
      <c r="K8" s="15" t="s">
        <v>26</v>
      </c>
      <c r="L8" s="437"/>
      <c r="M8" s="438"/>
      <c r="N8" s="439"/>
      <c r="O8" s="379"/>
      <c r="P8" s="379"/>
    </row>
    <row r="9" spans="1:16" s="127" customFormat="1" ht="23.25">
      <c r="A9" s="440" t="s">
        <v>578</v>
      </c>
      <c r="B9" s="441"/>
      <c r="C9" s="441"/>
      <c r="D9" s="441"/>
      <c r="E9" s="441"/>
      <c r="F9" s="441"/>
      <c r="G9" s="441"/>
      <c r="H9" s="441"/>
      <c r="I9" s="441"/>
      <c r="J9" s="441"/>
      <c r="K9" s="442"/>
      <c r="L9" s="130">
        <f>SUM(L11,L13,L17,L19,L32,L40,L43,L56,L58,L65,L71,L72,L74,L75,L77,L79)/16</f>
        <v>0</v>
      </c>
      <c r="M9" s="130">
        <f>SUM(M11,M13,M17,M19,M32,M40,M43,M56,M58,M65,M71,M72,M74,M75,M77,M79)/16</f>
        <v>0</v>
      </c>
      <c r="N9" s="130">
        <f>SUM(N11,N13,N17,N19,N32,N40,N43,N56,N58,N65,N71,N72,N74,N75,N77,N79)/16</f>
        <v>0</v>
      </c>
      <c r="O9" s="130">
        <f>SUM(O11,O13,O17,O19,O32,O40,O43,O56,O58,O65,O71,O72,O74,O75,O77,O79)/16</f>
        <v>0</v>
      </c>
      <c r="P9" s="121"/>
    </row>
    <row r="10" spans="1:16" s="127" customFormat="1" ht="23.25">
      <c r="A10" s="394" t="s">
        <v>576</v>
      </c>
      <c r="B10" s="395"/>
      <c r="C10" s="395"/>
      <c r="D10" s="395"/>
      <c r="E10" s="395"/>
      <c r="F10" s="395"/>
      <c r="G10" s="395"/>
      <c r="H10" s="395"/>
      <c r="I10" s="395"/>
      <c r="J10" s="395"/>
      <c r="K10" s="124"/>
      <c r="L10" s="125">
        <f>SUM(L11)/1</f>
        <v>0</v>
      </c>
      <c r="M10" s="125">
        <f>SUM(M11)/1</f>
        <v>0</v>
      </c>
      <c r="N10" s="125">
        <f>SUM(N11)/1</f>
        <v>0</v>
      </c>
      <c r="O10" s="125">
        <f>SUM(O11)/1</f>
        <v>0</v>
      </c>
      <c r="P10" s="129"/>
    </row>
    <row r="11" spans="1:16" s="135" customFormat="1" ht="186">
      <c r="A11" s="310" t="s">
        <v>577</v>
      </c>
      <c r="B11" s="311" t="s">
        <v>589</v>
      </c>
      <c r="C11" s="310" t="s">
        <v>6</v>
      </c>
      <c r="D11" s="443">
        <f>data!F22</f>
        <v>0</v>
      </c>
      <c r="E11" s="444"/>
      <c r="F11" s="443">
        <f>data!G22</f>
        <v>0</v>
      </c>
      <c r="G11" s="444"/>
      <c r="H11" s="445">
        <f>data!H22</f>
        <v>0</v>
      </c>
      <c r="I11" s="446"/>
      <c r="J11" s="445">
        <f>data!I22</f>
        <v>0</v>
      </c>
      <c r="K11" s="446"/>
      <c r="L11" s="312">
        <f>IF((D11*5/60)&lt;=5,(D11*5/60),5)</f>
        <v>0</v>
      </c>
      <c r="M11" s="312">
        <f>IF((F11*5/60)&lt;=5,(F11*5/60),5)</f>
        <v>0</v>
      </c>
      <c r="N11" s="228">
        <f>IF((H11*5/60)&lt;=5,(H11*5/60),5)</f>
        <v>0</v>
      </c>
      <c r="O11" s="228">
        <f>IF((J11*5/60)&lt;=5,(J11*5/60),5)</f>
        <v>0</v>
      </c>
      <c r="P11" s="139"/>
    </row>
    <row r="12" spans="1:16" s="127" customFormat="1" ht="23.25">
      <c r="A12" s="394" t="s">
        <v>215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124"/>
      <c r="L12" s="125">
        <f>SUM(L13,L17,L19,L32,L40)/5</f>
        <v>0</v>
      </c>
      <c r="M12" s="125">
        <f>SUM(M13,M15,M19,M32,M40)/5</f>
        <v>0</v>
      </c>
      <c r="N12" s="125">
        <f>SUM(N13,N15,N19,N32,N40)/5</f>
        <v>0</v>
      </c>
      <c r="O12" s="125">
        <f>SUM(O13,O15,O19,O32,O40)/5</f>
        <v>0</v>
      </c>
      <c r="P12" s="126"/>
    </row>
    <row r="13" spans="1:16" s="135" customFormat="1" ht="23.25">
      <c r="A13" s="402" t="s">
        <v>108</v>
      </c>
      <c r="B13" s="404" t="s">
        <v>113</v>
      </c>
      <c r="C13" s="402" t="s">
        <v>19</v>
      </c>
      <c r="D13" s="227">
        <f>data!F141</f>
        <v>0</v>
      </c>
      <c r="E13" s="400" t="str">
        <f>IF(D14=0,"0",D13/D14*100)</f>
        <v>0</v>
      </c>
      <c r="F13" s="227">
        <f>data!G141</f>
        <v>0</v>
      </c>
      <c r="G13" s="400" t="str">
        <f>IF(F14=0,"0",F13/F14*100)</f>
        <v>0</v>
      </c>
      <c r="H13" s="227">
        <f>data!H141</f>
        <v>0</v>
      </c>
      <c r="I13" s="400" t="str">
        <f>IF(H14=0,"0",H13/H14*100)</f>
        <v>0</v>
      </c>
      <c r="J13" s="227">
        <f>data!I141</f>
        <v>0</v>
      </c>
      <c r="K13" s="400" t="str">
        <f>IF(J14=0,"0",J13/J14*100)</f>
        <v>0</v>
      </c>
      <c r="L13" s="400">
        <f>IF((E13*5/100)&lt;=5,(E13*5/100),5)</f>
        <v>0</v>
      </c>
      <c r="M13" s="400">
        <f>IF((G13*5/100)&lt;=5,(G13*5/100),5)</f>
        <v>0</v>
      </c>
      <c r="N13" s="400">
        <f>IF((I13*5/100)&lt;=5,(I13*5/100),5)</f>
        <v>0</v>
      </c>
      <c r="O13" s="400">
        <f>IF((K13*5/100)&lt;=5,(K13*5/100),5)</f>
        <v>0</v>
      </c>
      <c r="P13" s="422"/>
    </row>
    <row r="14" spans="1:16" s="135" customFormat="1" ht="23.25">
      <c r="A14" s="420"/>
      <c r="B14" s="406"/>
      <c r="C14" s="420"/>
      <c r="D14" s="227">
        <f>(data!F140)-(data!F142+data!F143+data!F144)</f>
        <v>0</v>
      </c>
      <c r="E14" s="401"/>
      <c r="F14" s="227">
        <f>(data!G140)-(data!G142+data!G143+data!G144)</f>
        <v>0</v>
      </c>
      <c r="G14" s="401"/>
      <c r="H14" s="227">
        <f>(data!H140)-(data!H142+data!H143+data!H144)</f>
        <v>0</v>
      </c>
      <c r="I14" s="401"/>
      <c r="J14" s="227">
        <f>(data!I140)-(data!I142+data!I143+data!I144)</f>
        <v>0</v>
      </c>
      <c r="K14" s="401"/>
      <c r="L14" s="401"/>
      <c r="M14" s="401"/>
      <c r="N14" s="401"/>
      <c r="O14" s="401"/>
      <c r="P14" s="423"/>
    </row>
    <row r="15" spans="1:16" s="135" customFormat="1" ht="36.75" customHeight="1">
      <c r="A15" s="402" t="s">
        <v>109</v>
      </c>
      <c r="B15" s="404" t="s">
        <v>114</v>
      </c>
      <c r="C15" s="412" t="s">
        <v>375</v>
      </c>
      <c r="D15" s="228">
        <f>SUM(data!F151,data!F154,data!F157)</f>
        <v>0</v>
      </c>
      <c r="E15" s="409" t="str">
        <f>IF(D16=0,"0",D15/D16)</f>
        <v>0</v>
      </c>
      <c r="F15" s="228">
        <f>SUM(data!G151,data!G154,data!G157)</f>
        <v>0</v>
      </c>
      <c r="G15" s="409" t="str">
        <f>IF(F16=0,"0",F15/F16)</f>
        <v>0</v>
      </c>
      <c r="H15" s="228">
        <f>SUM(data!H151,data!H154,data!H157)</f>
        <v>0</v>
      </c>
      <c r="I15" s="409" t="str">
        <f>IF(H16=0,"0",H15/H16)</f>
        <v>0</v>
      </c>
      <c r="J15" s="228">
        <f>SUM(data!I151,data!I154,data!I157)</f>
        <v>0</v>
      </c>
      <c r="K15" s="409" t="str">
        <f>IF(J16=0,"0",J15/J16)</f>
        <v>0</v>
      </c>
      <c r="L15" s="400" t="str">
        <f>E15</f>
        <v>0</v>
      </c>
      <c r="M15" s="400" t="str">
        <f>G15</f>
        <v>0</v>
      </c>
      <c r="N15" s="400" t="str">
        <f>I15</f>
        <v>0</v>
      </c>
      <c r="O15" s="400" t="str">
        <f>K15</f>
        <v>0</v>
      </c>
      <c r="P15" s="429"/>
    </row>
    <row r="16" spans="1:16" s="135" customFormat="1" ht="36.75" customHeight="1">
      <c r="A16" s="403"/>
      <c r="B16" s="405"/>
      <c r="C16" s="412"/>
      <c r="D16" s="229">
        <f>SUM(data!F150,data!F153,data!F156)</f>
        <v>0</v>
      </c>
      <c r="E16" s="409"/>
      <c r="F16" s="229">
        <f>SUM(data!G150,data!G153,data!G156)</f>
        <v>0</v>
      </c>
      <c r="G16" s="409"/>
      <c r="H16" s="229">
        <f>SUM(data!H150,data!H153,data!H156)</f>
        <v>0</v>
      </c>
      <c r="I16" s="409"/>
      <c r="J16" s="229">
        <f>SUM(data!I150,data!I153,data!I156)</f>
        <v>0</v>
      </c>
      <c r="K16" s="409"/>
      <c r="L16" s="401"/>
      <c r="M16" s="401"/>
      <c r="N16" s="401"/>
      <c r="O16" s="401"/>
      <c r="P16" s="430"/>
    </row>
    <row r="17" spans="1:16" s="135" customFormat="1" ht="35.25" customHeight="1">
      <c r="A17" s="403"/>
      <c r="B17" s="405"/>
      <c r="C17" s="407" t="s">
        <v>376</v>
      </c>
      <c r="D17" s="228">
        <f>SUM(data!F152,data!F155,data!F158)</f>
        <v>0</v>
      </c>
      <c r="E17" s="409" t="str">
        <f>IF(D18=0,"0",D17/D18)</f>
        <v>0</v>
      </c>
      <c r="F17" s="228">
        <f>SUM(data!G152,data!G155,data!G158)</f>
        <v>0</v>
      </c>
      <c r="G17" s="409" t="str">
        <f>IF(F18=0,"0",F17/F18)</f>
        <v>0</v>
      </c>
      <c r="H17" s="228">
        <f>SUM(data!H152,data!H155,data!H158)</f>
        <v>0</v>
      </c>
      <c r="I17" s="409" t="str">
        <f>IF(H18=0,"0",H17/H18)</f>
        <v>0</v>
      </c>
      <c r="J17" s="228">
        <f>SUM(data!I152,data!I155,data!I158)</f>
        <v>0</v>
      </c>
      <c r="K17" s="409" t="str">
        <f>IF(J18=0,"0",J17/J18)</f>
        <v>0</v>
      </c>
      <c r="L17" s="400" t="str">
        <f>E17</f>
        <v>0</v>
      </c>
      <c r="M17" s="400" t="str">
        <f>G17</f>
        <v>0</v>
      </c>
      <c r="N17" s="400" t="str">
        <f>I17</f>
        <v>0</v>
      </c>
      <c r="O17" s="400" t="str">
        <f>K17</f>
        <v>0</v>
      </c>
      <c r="P17" s="429"/>
    </row>
    <row r="18" spans="1:16" s="135" customFormat="1" ht="35.25" customHeight="1">
      <c r="A18" s="403"/>
      <c r="B18" s="406"/>
      <c r="C18" s="408"/>
      <c r="D18" s="229">
        <f>SUM(data!F150,data!F153,data!F156)</f>
        <v>0</v>
      </c>
      <c r="E18" s="409"/>
      <c r="F18" s="229">
        <f>SUM(data!G150,data!G153,data!G156)</f>
        <v>0</v>
      </c>
      <c r="G18" s="409"/>
      <c r="H18" s="229">
        <f>SUM(data!H150,data!H153,data!H156)</f>
        <v>0</v>
      </c>
      <c r="I18" s="409"/>
      <c r="J18" s="229">
        <f>SUM(data!I150,data!I153,data!I156)</f>
        <v>0</v>
      </c>
      <c r="K18" s="409"/>
      <c r="L18" s="401"/>
      <c r="M18" s="401"/>
      <c r="N18" s="401"/>
      <c r="O18" s="401"/>
      <c r="P18" s="430"/>
    </row>
    <row r="19" spans="1:16" s="135" customFormat="1" ht="23.25">
      <c r="A19" s="402" t="s">
        <v>110</v>
      </c>
      <c r="B19" s="416" t="s">
        <v>115</v>
      </c>
      <c r="C19" s="402" t="s">
        <v>19</v>
      </c>
      <c r="D19" s="230">
        <f>SUM(E21,E22,E23,E24,E25,E26,E27,E28,E29,E30,E31)</f>
        <v>0</v>
      </c>
      <c r="E19" s="400" t="str">
        <f>IF(D20=0,"0",(D19/D20)*100)</f>
        <v>0</v>
      </c>
      <c r="F19" s="230">
        <f>SUM(G21,G22,G23,G24,G25,G26,G27,G28,G29,G30,G31)</f>
        <v>0</v>
      </c>
      <c r="G19" s="400" t="str">
        <f>IF(F20=0,"0",(F19/F20)*100)</f>
        <v>0</v>
      </c>
      <c r="H19" s="230">
        <f>SUM(I21,I22,I23,I24,I25,I26,I27,I28,I29,I30,I31)</f>
        <v>0</v>
      </c>
      <c r="I19" s="400" t="str">
        <f>IF(H20=0,"0",(H19/H20)*100)</f>
        <v>0</v>
      </c>
      <c r="J19" s="230">
        <f>SUM(K21,K22,K23,K24,K25,K26,K27,K28,K29,K30,K31)</f>
        <v>0</v>
      </c>
      <c r="K19" s="400" t="str">
        <f>IF(J20=0,"0",(J19/J20)*100)</f>
        <v>0</v>
      </c>
      <c r="L19" s="400">
        <f>IF((E19*5/50)&lt;=5,(E19*5/50),5)</f>
        <v>0</v>
      </c>
      <c r="M19" s="400">
        <f>IF((G19*5/50)&lt;=5,(G19*5/50),5)</f>
        <v>0</v>
      </c>
      <c r="N19" s="400">
        <f>IF((I19*5/50)&lt;=5,(I19*5/50),5)</f>
        <v>0</v>
      </c>
      <c r="O19" s="400">
        <f>IF((K19*5/50)&lt;=5,(K19*5/50),5)</f>
        <v>0</v>
      </c>
      <c r="P19" s="422"/>
    </row>
    <row r="20" spans="1:16" s="135" customFormat="1" ht="23.25">
      <c r="A20" s="403"/>
      <c r="B20" s="424"/>
      <c r="C20" s="420"/>
      <c r="D20" s="227">
        <f>data!F145</f>
        <v>0</v>
      </c>
      <c r="E20" s="401"/>
      <c r="F20" s="227">
        <f>data!H145</f>
        <v>0</v>
      </c>
      <c r="G20" s="401"/>
      <c r="H20" s="227">
        <f>data!J145</f>
        <v>0</v>
      </c>
      <c r="I20" s="401"/>
      <c r="J20" s="227">
        <f>data!L145</f>
        <v>0</v>
      </c>
      <c r="K20" s="401"/>
      <c r="L20" s="401"/>
      <c r="M20" s="401"/>
      <c r="N20" s="401"/>
      <c r="O20" s="401"/>
      <c r="P20" s="423"/>
    </row>
    <row r="21" spans="1:16" s="136" customFormat="1" ht="43.5">
      <c r="A21" s="148"/>
      <c r="B21" s="231" t="s">
        <v>234</v>
      </c>
      <c r="C21" s="232" t="s">
        <v>235</v>
      </c>
      <c r="D21" s="233">
        <f>data!F194</f>
        <v>0</v>
      </c>
      <c r="E21" s="234">
        <f>D21*0.125</f>
        <v>0</v>
      </c>
      <c r="F21" s="233">
        <f>data!G194</f>
        <v>0</v>
      </c>
      <c r="G21" s="234">
        <f>F21*0.125</f>
        <v>0</v>
      </c>
      <c r="H21" s="233">
        <f>data!H194</f>
        <v>0</v>
      </c>
      <c r="I21" s="234">
        <f>H21*0.125</f>
        <v>0</v>
      </c>
      <c r="J21" s="233">
        <f>data!I194</f>
        <v>0</v>
      </c>
      <c r="K21" s="234">
        <f>J21*0.125</f>
        <v>0</v>
      </c>
      <c r="L21" s="149"/>
      <c r="M21" s="149"/>
      <c r="N21" s="149"/>
      <c r="O21" s="149"/>
      <c r="P21" s="149"/>
    </row>
    <row r="22" spans="1:16" s="136" customFormat="1" ht="43.5">
      <c r="A22" s="148"/>
      <c r="B22" s="231" t="s">
        <v>236</v>
      </c>
      <c r="C22" s="232" t="s">
        <v>235</v>
      </c>
      <c r="D22" s="233">
        <f>data!F195</f>
        <v>0</v>
      </c>
      <c r="E22" s="234">
        <f>D22*0.25</f>
        <v>0</v>
      </c>
      <c r="F22" s="233">
        <f>data!G195</f>
        <v>0</v>
      </c>
      <c r="G22" s="234">
        <f>F22*0.25</f>
        <v>0</v>
      </c>
      <c r="H22" s="233">
        <f>data!H195</f>
        <v>0</v>
      </c>
      <c r="I22" s="234">
        <f>H22*0.25</f>
        <v>0</v>
      </c>
      <c r="J22" s="233">
        <f>data!I195</f>
        <v>0</v>
      </c>
      <c r="K22" s="234">
        <f>J22*0.25</f>
        <v>0</v>
      </c>
      <c r="L22" s="149"/>
      <c r="M22" s="149"/>
      <c r="N22" s="149"/>
      <c r="O22" s="149"/>
      <c r="P22" s="149"/>
    </row>
    <row r="23" spans="1:16" s="136" customFormat="1" ht="43.5">
      <c r="A23" s="148"/>
      <c r="B23" s="231" t="s">
        <v>380</v>
      </c>
      <c r="C23" s="232" t="s">
        <v>235</v>
      </c>
      <c r="D23" s="235">
        <f>data!F196</f>
        <v>0</v>
      </c>
      <c r="E23" s="235">
        <f>D23*0.25</f>
        <v>0</v>
      </c>
      <c r="F23" s="235">
        <f>data!G196</f>
        <v>0</v>
      </c>
      <c r="G23" s="235">
        <f>F23*0.25</f>
        <v>0</v>
      </c>
      <c r="H23" s="235">
        <f>data!H196</f>
        <v>0</v>
      </c>
      <c r="I23" s="235">
        <f>H23*0.25</f>
        <v>0</v>
      </c>
      <c r="J23" s="235">
        <f>data!I196</f>
        <v>0</v>
      </c>
      <c r="K23" s="235">
        <f>J23*0.25</f>
        <v>0</v>
      </c>
      <c r="L23" s="149"/>
      <c r="M23" s="149"/>
      <c r="N23" s="149"/>
      <c r="O23" s="149"/>
      <c r="P23" s="149"/>
    </row>
    <row r="24" spans="1:16" s="136" customFormat="1" ht="43.5">
      <c r="A24" s="148"/>
      <c r="B24" s="231" t="s">
        <v>379</v>
      </c>
      <c r="C24" s="232" t="s">
        <v>235</v>
      </c>
      <c r="D24" s="235">
        <f>data!F197</f>
        <v>0</v>
      </c>
      <c r="E24" s="235">
        <f>D24*0.5</f>
        <v>0</v>
      </c>
      <c r="F24" s="235">
        <f>data!G197</f>
        <v>0</v>
      </c>
      <c r="G24" s="235">
        <f>F24*0.5</f>
        <v>0</v>
      </c>
      <c r="H24" s="235">
        <f>data!H197</f>
        <v>0</v>
      </c>
      <c r="I24" s="235">
        <f>H24*0.5</f>
        <v>0</v>
      </c>
      <c r="J24" s="235">
        <f>data!I197</f>
        <v>0</v>
      </c>
      <c r="K24" s="235">
        <f>J24*0.5</f>
        <v>0</v>
      </c>
      <c r="L24" s="149"/>
      <c r="M24" s="149"/>
      <c r="N24" s="149"/>
      <c r="O24" s="149"/>
      <c r="P24" s="149"/>
    </row>
    <row r="25" spans="1:17" s="136" customFormat="1" ht="65.25">
      <c r="A25" s="148"/>
      <c r="B25" s="236" t="s">
        <v>239</v>
      </c>
      <c r="C25" s="237" t="s">
        <v>235</v>
      </c>
      <c r="D25" s="235">
        <f>data!F198</f>
        <v>0</v>
      </c>
      <c r="E25" s="235">
        <f>D25*0.75</f>
        <v>0</v>
      </c>
      <c r="F25" s="235">
        <f>data!G198</f>
        <v>0</v>
      </c>
      <c r="G25" s="235">
        <f>F25*0.75</f>
        <v>0</v>
      </c>
      <c r="H25" s="235">
        <f>data!H198</f>
        <v>0</v>
      </c>
      <c r="I25" s="235">
        <f>H25*0.75</f>
        <v>0</v>
      </c>
      <c r="J25" s="235">
        <f>data!I198</f>
        <v>0</v>
      </c>
      <c r="K25" s="235">
        <f>J25*0.75</f>
        <v>0</v>
      </c>
      <c r="L25" s="151"/>
      <c r="M25" s="151"/>
      <c r="N25" s="151"/>
      <c r="O25" s="151"/>
      <c r="P25" s="151"/>
      <c r="Q25" s="293"/>
    </row>
    <row r="26" spans="1:16" s="136" customFormat="1" ht="65.25">
      <c r="A26" s="294"/>
      <c r="B26" s="236" t="s">
        <v>240</v>
      </c>
      <c r="C26" s="237" t="s">
        <v>235</v>
      </c>
      <c r="D26" s="292">
        <f>data!F199</f>
        <v>0</v>
      </c>
      <c r="E26" s="292">
        <f>D26*1</f>
        <v>0</v>
      </c>
      <c r="F26" s="292">
        <f>data!G199</f>
        <v>0</v>
      </c>
      <c r="G26" s="292">
        <f>F26*1</f>
        <v>0</v>
      </c>
      <c r="H26" s="292">
        <f>data!H199</f>
        <v>0</v>
      </c>
      <c r="I26" s="292">
        <f>H26*1</f>
        <v>0</v>
      </c>
      <c r="J26" s="292">
        <f>data!I199</f>
        <v>0</v>
      </c>
      <c r="K26" s="292">
        <f>J26*1</f>
        <v>0</v>
      </c>
      <c r="L26" s="152"/>
      <c r="M26" s="152"/>
      <c r="N26" s="149"/>
      <c r="O26" s="152"/>
      <c r="P26" s="149"/>
    </row>
    <row r="27" spans="1:16" s="136" customFormat="1" ht="43.5">
      <c r="A27" s="148"/>
      <c r="B27" s="231" t="s">
        <v>241</v>
      </c>
      <c r="C27" s="232" t="s">
        <v>235</v>
      </c>
      <c r="D27" s="235">
        <f>data!F201</f>
        <v>0</v>
      </c>
      <c r="E27" s="235">
        <f>D27*0.125</f>
        <v>0</v>
      </c>
      <c r="F27" s="235">
        <f>data!G201</f>
        <v>0</v>
      </c>
      <c r="G27" s="235">
        <f>F27*0.125</f>
        <v>0</v>
      </c>
      <c r="H27" s="235">
        <f>data!H201</f>
        <v>0</v>
      </c>
      <c r="I27" s="235">
        <f>H27*0.125</f>
        <v>0</v>
      </c>
      <c r="J27" s="235">
        <f>data!I201</f>
        <v>0</v>
      </c>
      <c r="K27" s="235">
        <f>J27*0.125</f>
        <v>0</v>
      </c>
      <c r="L27" s="152"/>
      <c r="M27" s="152"/>
      <c r="N27" s="149"/>
      <c r="O27" s="152"/>
      <c r="P27" s="149"/>
    </row>
    <row r="28" spans="1:16" s="136" customFormat="1" ht="43.5">
      <c r="A28" s="148"/>
      <c r="B28" s="231" t="s">
        <v>242</v>
      </c>
      <c r="C28" s="232" t="s">
        <v>235</v>
      </c>
      <c r="D28" s="235">
        <f>data!F202</f>
        <v>0</v>
      </c>
      <c r="E28" s="235">
        <f>D28*0.25</f>
        <v>0</v>
      </c>
      <c r="F28" s="235">
        <f>data!G202</f>
        <v>0</v>
      </c>
      <c r="G28" s="235">
        <f>F28*0.25</f>
        <v>0</v>
      </c>
      <c r="H28" s="235">
        <f>data!H202</f>
        <v>0</v>
      </c>
      <c r="I28" s="235">
        <f>H28*0.25</f>
        <v>0</v>
      </c>
      <c r="J28" s="235">
        <f>data!I202</f>
        <v>0</v>
      </c>
      <c r="K28" s="235">
        <f>J28*0.25</f>
        <v>0</v>
      </c>
      <c r="L28" s="149"/>
      <c r="M28" s="149"/>
      <c r="N28" s="149"/>
      <c r="O28" s="149"/>
      <c r="P28" s="149"/>
    </row>
    <row r="29" spans="1:16" s="136" customFormat="1" ht="65.25">
      <c r="A29" s="148"/>
      <c r="B29" s="231" t="s">
        <v>243</v>
      </c>
      <c r="C29" s="232" t="s">
        <v>235</v>
      </c>
      <c r="D29" s="235">
        <f>data!F203</f>
        <v>0</v>
      </c>
      <c r="E29" s="235">
        <f>D29*0.5</f>
        <v>0</v>
      </c>
      <c r="F29" s="235">
        <f>data!G203</f>
        <v>0</v>
      </c>
      <c r="G29" s="235">
        <f>F29*0.5</f>
        <v>0</v>
      </c>
      <c r="H29" s="235">
        <f>data!H203</f>
        <v>0</v>
      </c>
      <c r="I29" s="235">
        <f>H29*0.5</f>
        <v>0</v>
      </c>
      <c r="J29" s="235">
        <f>data!I203</f>
        <v>0</v>
      </c>
      <c r="K29" s="235">
        <f>J29*0.5</f>
        <v>0</v>
      </c>
      <c r="L29" s="149"/>
      <c r="M29" s="149"/>
      <c r="N29" s="149"/>
      <c r="O29" s="149"/>
      <c r="P29" s="149"/>
    </row>
    <row r="30" spans="1:16" s="136" customFormat="1" ht="43.5">
      <c r="A30" s="148"/>
      <c r="B30" s="231" t="s">
        <v>244</v>
      </c>
      <c r="C30" s="232" t="s">
        <v>235</v>
      </c>
      <c r="D30" s="235">
        <f>data!F204</f>
        <v>0</v>
      </c>
      <c r="E30" s="235">
        <f>D30*0.75</f>
        <v>0</v>
      </c>
      <c r="F30" s="235">
        <f>data!G204</f>
        <v>0</v>
      </c>
      <c r="G30" s="235">
        <f>F30*0.75</f>
        <v>0</v>
      </c>
      <c r="H30" s="235">
        <f>data!H204</f>
        <v>0</v>
      </c>
      <c r="I30" s="235">
        <f>H30*0.75</f>
        <v>0</v>
      </c>
      <c r="J30" s="235">
        <f>data!I204</f>
        <v>0</v>
      </c>
      <c r="K30" s="235">
        <f>J30*0.75</f>
        <v>0</v>
      </c>
      <c r="L30" s="149"/>
      <c r="M30" s="149"/>
      <c r="N30" s="149"/>
      <c r="O30" s="149"/>
      <c r="P30" s="149"/>
    </row>
    <row r="31" spans="1:16" s="136" customFormat="1" ht="43.5">
      <c r="A31" s="150"/>
      <c r="B31" s="231" t="s">
        <v>245</v>
      </c>
      <c r="C31" s="232" t="s">
        <v>235</v>
      </c>
      <c r="D31" s="235">
        <f>data!F205</f>
        <v>0</v>
      </c>
      <c r="E31" s="235">
        <f>D31*1</f>
        <v>0</v>
      </c>
      <c r="F31" s="235">
        <f>data!G205</f>
        <v>0</v>
      </c>
      <c r="G31" s="235">
        <f>F31*1</f>
        <v>0</v>
      </c>
      <c r="H31" s="235">
        <f>data!H205</f>
        <v>0</v>
      </c>
      <c r="I31" s="235">
        <f>H31*1</f>
        <v>0</v>
      </c>
      <c r="J31" s="235">
        <f>data!I205</f>
        <v>0</v>
      </c>
      <c r="K31" s="235">
        <f>J31*1</f>
        <v>0</v>
      </c>
      <c r="L31" s="149"/>
      <c r="M31" s="149"/>
      <c r="N31" s="149"/>
      <c r="O31" s="149"/>
      <c r="P31" s="149"/>
    </row>
    <row r="32" spans="1:16" s="135" customFormat="1" ht="23.25">
      <c r="A32" s="403" t="s">
        <v>111</v>
      </c>
      <c r="B32" s="416" t="s">
        <v>116</v>
      </c>
      <c r="C32" s="402" t="s">
        <v>19</v>
      </c>
      <c r="D32" s="230">
        <f>SUM(E34,E35,E36,E37,E38,E39)</f>
        <v>0</v>
      </c>
      <c r="E32" s="400" t="str">
        <f>IF(D33=0,"0",(D32/D33)*100)</f>
        <v>0</v>
      </c>
      <c r="F32" s="230">
        <f>SUM(G34,G35,G36,G37,G38,G39)</f>
        <v>0</v>
      </c>
      <c r="G32" s="400" t="str">
        <f>IF(F33=0,"0",(F32/F33)*100)</f>
        <v>0</v>
      </c>
      <c r="H32" s="230">
        <f>SUM(I34,I35,I36,I37,I38,I39)</f>
        <v>0</v>
      </c>
      <c r="I32" s="400" t="str">
        <f>IF(H33=0,"0",(H32/H33)*100)</f>
        <v>0</v>
      </c>
      <c r="J32" s="230">
        <f>SUM(K34,K35,K36,K37,K38,K39)</f>
        <v>0</v>
      </c>
      <c r="K32" s="400" t="str">
        <f>IF(J33=0,"0",(J32/J33)*100)</f>
        <v>0</v>
      </c>
      <c r="L32" s="400">
        <f>IF((E32*5/100)&lt;=5,(E32*5/100),5)</f>
        <v>0</v>
      </c>
      <c r="M32" s="400">
        <f>IF((G32*5/100)&lt;=5,(G32*5/100),5)</f>
        <v>0</v>
      </c>
      <c r="N32" s="400">
        <f>IF((I32*5/100)&lt;=5,(I32*5/100),5)</f>
        <v>0</v>
      </c>
      <c r="O32" s="400">
        <f>IF((K32*5/100)&lt;=5,(K32*5/100),5)</f>
        <v>0</v>
      </c>
      <c r="P32" s="422"/>
    </row>
    <row r="33" spans="1:16" s="135" customFormat="1" ht="23.25">
      <c r="A33" s="403"/>
      <c r="B33" s="424"/>
      <c r="C33" s="420"/>
      <c r="D33" s="227">
        <f>data!F148</f>
        <v>0</v>
      </c>
      <c r="E33" s="401"/>
      <c r="F33" s="227">
        <f>data!H148</f>
        <v>0</v>
      </c>
      <c r="G33" s="401"/>
      <c r="H33" s="227">
        <f>data!J158</f>
        <v>0</v>
      </c>
      <c r="I33" s="401"/>
      <c r="J33" s="227">
        <f>data!L158</f>
        <v>0</v>
      </c>
      <c r="K33" s="401"/>
      <c r="L33" s="401"/>
      <c r="M33" s="401"/>
      <c r="N33" s="401"/>
      <c r="O33" s="401"/>
      <c r="P33" s="423"/>
    </row>
    <row r="34" spans="1:16" s="136" customFormat="1" ht="43.5">
      <c r="A34" s="148"/>
      <c r="B34" s="231" t="s">
        <v>234</v>
      </c>
      <c r="C34" s="232" t="s">
        <v>235</v>
      </c>
      <c r="D34" s="235">
        <f>data!F207</f>
        <v>0</v>
      </c>
      <c r="E34" s="235">
        <f>D34*0.125</f>
        <v>0</v>
      </c>
      <c r="F34" s="235">
        <f>data!G207</f>
        <v>0</v>
      </c>
      <c r="G34" s="235">
        <f>F34*0.125</f>
        <v>0</v>
      </c>
      <c r="H34" s="235">
        <f>data!H207</f>
        <v>0</v>
      </c>
      <c r="I34" s="235">
        <f>H34*0.125</f>
        <v>0</v>
      </c>
      <c r="J34" s="235">
        <f>data!I207</f>
        <v>0</v>
      </c>
      <c r="K34" s="235">
        <f>J34*0.125</f>
        <v>0</v>
      </c>
      <c r="L34" s="149"/>
      <c r="M34" s="149"/>
      <c r="N34" s="149"/>
      <c r="O34" s="149"/>
      <c r="P34" s="149"/>
    </row>
    <row r="35" spans="1:16" s="136" customFormat="1" ht="43.5">
      <c r="A35" s="148"/>
      <c r="B35" s="231" t="s">
        <v>236</v>
      </c>
      <c r="C35" s="232" t="s">
        <v>235</v>
      </c>
      <c r="D35" s="235">
        <f>data!F208</f>
        <v>0</v>
      </c>
      <c r="E35" s="235">
        <f>D35*0.25</f>
        <v>0</v>
      </c>
      <c r="F35" s="235">
        <f>data!G208</f>
        <v>0</v>
      </c>
      <c r="G35" s="235">
        <f>F35*0.25</f>
        <v>0</v>
      </c>
      <c r="H35" s="235">
        <f>data!H208</f>
        <v>0</v>
      </c>
      <c r="I35" s="235">
        <f>H35*0.25</f>
        <v>0</v>
      </c>
      <c r="J35" s="235">
        <f>data!I208</f>
        <v>0</v>
      </c>
      <c r="K35" s="235">
        <f>J35*0.25</f>
        <v>0</v>
      </c>
      <c r="L35" s="149"/>
      <c r="M35" s="149"/>
      <c r="N35" s="149"/>
      <c r="O35" s="149"/>
      <c r="P35" s="149"/>
    </row>
    <row r="36" spans="1:16" s="136" customFormat="1" ht="43.5">
      <c r="A36" s="148"/>
      <c r="B36" s="231" t="s">
        <v>380</v>
      </c>
      <c r="C36" s="232" t="s">
        <v>235</v>
      </c>
      <c r="D36" s="235">
        <f>data!F209</f>
        <v>0</v>
      </c>
      <c r="E36" s="235">
        <f>D36*0.25</f>
        <v>0</v>
      </c>
      <c r="F36" s="235">
        <f>data!G209</f>
        <v>0</v>
      </c>
      <c r="G36" s="235">
        <f>F36*0.25</f>
        <v>0</v>
      </c>
      <c r="H36" s="235">
        <f>data!H209</f>
        <v>0</v>
      </c>
      <c r="I36" s="235">
        <f>H36*0.25</f>
        <v>0</v>
      </c>
      <c r="J36" s="235">
        <f>data!I209</f>
        <v>0</v>
      </c>
      <c r="K36" s="235">
        <f>J36*0.25</f>
        <v>0</v>
      </c>
      <c r="L36" s="149"/>
      <c r="M36" s="149"/>
      <c r="N36" s="149"/>
      <c r="O36" s="149"/>
      <c r="P36" s="149"/>
    </row>
    <row r="37" spans="1:16" s="136" customFormat="1" ht="43.5">
      <c r="A37" s="148"/>
      <c r="B37" s="231" t="s">
        <v>379</v>
      </c>
      <c r="C37" s="232" t="s">
        <v>235</v>
      </c>
      <c r="D37" s="235">
        <f>data!F210</f>
        <v>0</v>
      </c>
      <c r="E37" s="235">
        <f>D37*0.5</f>
        <v>0</v>
      </c>
      <c r="F37" s="235">
        <f>data!G210</f>
        <v>0</v>
      </c>
      <c r="G37" s="235">
        <f>F37*0.5</f>
        <v>0</v>
      </c>
      <c r="H37" s="235">
        <f>data!H210</f>
        <v>0</v>
      </c>
      <c r="I37" s="235">
        <f>H37*0.5</f>
        <v>0</v>
      </c>
      <c r="J37" s="235">
        <f>data!I210</f>
        <v>0</v>
      </c>
      <c r="K37" s="235">
        <f>J37*0.5</f>
        <v>0</v>
      </c>
      <c r="L37" s="149"/>
      <c r="M37" s="149"/>
      <c r="N37" s="149"/>
      <c r="O37" s="149"/>
      <c r="P37" s="149"/>
    </row>
    <row r="38" spans="1:16" s="136" customFormat="1" ht="65.25">
      <c r="A38" s="148"/>
      <c r="B38" s="236" t="s">
        <v>239</v>
      </c>
      <c r="C38" s="237" t="s">
        <v>235</v>
      </c>
      <c r="D38" s="235">
        <f>data!F211</f>
        <v>0</v>
      </c>
      <c r="E38" s="235">
        <f>D38*0.75</f>
        <v>0</v>
      </c>
      <c r="F38" s="235">
        <f>data!G211</f>
        <v>0</v>
      </c>
      <c r="G38" s="235">
        <f>F38*0.75</f>
        <v>0</v>
      </c>
      <c r="H38" s="235">
        <f>data!H211</f>
        <v>0</v>
      </c>
      <c r="I38" s="235">
        <f>H38*0.75</f>
        <v>0</v>
      </c>
      <c r="J38" s="235">
        <f>data!I211</f>
        <v>0</v>
      </c>
      <c r="K38" s="235">
        <f>J38*0.75</f>
        <v>0</v>
      </c>
      <c r="L38" s="149"/>
      <c r="M38" s="149"/>
      <c r="N38" s="149"/>
      <c r="O38" s="149"/>
      <c r="P38" s="149"/>
    </row>
    <row r="39" spans="1:16" s="136" customFormat="1" ht="65.25">
      <c r="A39" s="150"/>
      <c r="B39" s="231" t="s">
        <v>240</v>
      </c>
      <c r="C39" s="232" t="s">
        <v>235</v>
      </c>
      <c r="D39" s="235">
        <f>data!F212</f>
        <v>0</v>
      </c>
      <c r="E39" s="235">
        <f>D39*1</f>
        <v>0</v>
      </c>
      <c r="F39" s="235">
        <f>data!G212</f>
        <v>0</v>
      </c>
      <c r="G39" s="235">
        <f>F39*1</f>
        <v>0</v>
      </c>
      <c r="H39" s="235">
        <f>data!H212</f>
        <v>0</v>
      </c>
      <c r="I39" s="235">
        <f>H39*1</f>
        <v>0</v>
      </c>
      <c r="J39" s="235">
        <f>data!I212</f>
        <v>0</v>
      </c>
      <c r="K39" s="235">
        <f>J39*1</f>
        <v>0</v>
      </c>
      <c r="L39" s="152"/>
      <c r="M39" s="152"/>
      <c r="N39" s="149"/>
      <c r="O39" s="152"/>
      <c r="P39" s="151"/>
    </row>
    <row r="40" spans="1:16" s="135" customFormat="1" ht="23.25">
      <c r="A40" s="403" t="s">
        <v>112</v>
      </c>
      <c r="B40" s="404" t="s">
        <v>117</v>
      </c>
      <c r="C40" s="402" t="s">
        <v>18</v>
      </c>
      <c r="D40" s="227">
        <f>data!F192</f>
        <v>0</v>
      </c>
      <c r="E40" s="400" t="str">
        <f>IF(D41=0,"0",D40/D41)</f>
        <v>0</v>
      </c>
      <c r="F40" s="227">
        <f>data!G192</f>
        <v>0</v>
      </c>
      <c r="G40" s="400" t="str">
        <f>IF(F41=0,"0",F40/F41)</f>
        <v>0</v>
      </c>
      <c r="H40" s="227">
        <f>data!H192</f>
        <v>0</v>
      </c>
      <c r="I40" s="400" t="str">
        <f>IF(H41=0,"0",H40/H41)</f>
        <v>0</v>
      </c>
      <c r="J40" s="227">
        <f>data!I192</f>
        <v>0</v>
      </c>
      <c r="K40" s="400" t="str">
        <f>IF(J41=0,"0",J40/J41)</f>
        <v>0</v>
      </c>
      <c r="L40" s="400">
        <f>IF((E40*5/6)&lt;=5,(E40*5/6),5)</f>
        <v>0</v>
      </c>
      <c r="M40" s="400">
        <f>IF((G40*5/6)&lt;=5,(G40*5/6),5)</f>
        <v>0</v>
      </c>
      <c r="N40" s="400">
        <f>IF((I40*5/6)&lt;=5,(I40*5/6),5)</f>
        <v>0</v>
      </c>
      <c r="O40" s="400">
        <f>IF((K40*5/6)&lt;=5,(K40*5/6),5)</f>
        <v>0</v>
      </c>
      <c r="P40" s="422"/>
    </row>
    <row r="41" spans="1:16" s="135" customFormat="1" ht="23.25">
      <c r="A41" s="420"/>
      <c r="B41" s="406"/>
      <c r="C41" s="420"/>
      <c r="D41" s="227">
        <f>(data!F159-data!F160)</f>
        <v>0</v>
      </c>
      <c r="E41" s="401"/>
      <c r="F41" s="227">
        <f>(data!G159-data!G160)</f>
        <v>0</v>
      </c>
      <c r="G41" s="401"/>
      <c r="H41" s="227">
        <f>(data!H159-data!H160)</f>
        <v>0</v>
      </c>
      <c r="I41" s="401"/>
      <c r="J41" s="227">
        <f>(data!I159-data!I160)</f>
        <v>0</v>
      </c>
      <c r="K41" s="401"/>
      <c r="L41" s="401"/>
      <c r="M41" s="401"/>
      <c r="N41" s="401"/>
      <c r="O41" s="401"/>
      <c r="P41" s="423"/>
    </row>
    <row r="42" spans="1:16" s="127" customFormat="1" ht="23.25">
      <c r="A42" s="426" t="s">
        <v>217</v>
      </c>
      <c r="B42" s="395"/>
      <c r="C42" s="395"/>
      <c r="D42" s="395"/>
      <c r="E42" s="395"/>
      <c r="F42" s="395"/>
      <c r="G42" s="395"/>
      <c r="H42" s="395"/>
      <c r="I42" s="395"/>
      <c r="J42" s="395"/>
      <c r="K42" s="124"/>
      <c r="L42" s="125">
        <f>SUM(L43,L56,L58)/3</f>
        <v>0</v>
      </c>
      <c r="M42" s="125">
        <f>SUM(M43,M56,M58)/3</f>
        <v>0</v>
      </c>
      <c r="N42" s="125">
        <f>SUM(N43,N56,N58)/3</f>
        <v>0</v>
      </c>
      <c r="O42" s="125">
        <f>SUM(O43,O56,O58)/3</f>
        <v>0</v>
      </c>
      <c r="P42" s="128"/>
    </row>
    <row r="43" spans="1:17" s="136" customFormat="1" ht="23.25">
      <c r="A43" s="402" t="s">
        <v>120</v>
      </c>
      <c r="B43" s="416" t="s">
        <v>122</v>
      </c>
      <c r="C43" s="418" t="s">
        <v>19</v>
      </c>
      <c r="D43" s="230">
        <f>SUM(E45:E55)</f>
        <v>0</v>
      </c>
      <c r="E43" s="419" t="str">
        <f>IF(D44=0,"0",D43/D44*100)</f>
        <v>0</v>
      </c>
      <c r="F43" s="230">
        <f>SUM(F45:G55)</f>
        <v>0</v>
      </c>
      <c r="G43" s="419" t="str">
        <f>IF(F44=0,"0",F43/F44*100)</f>
        <v>0</v>
      </c>
      <c r="H43" s="230">
        <f>SUM(H45:I55)</f>
        <v>0</v>
      </c>
      <c r="I43" s="419" t="str">
        <f>IF(H44=0,"0",H43/H44*100)</f>
        <v>0</v>
      </c>
      <c r="J43" s="230">
        <f>SUM(J45:K55)</f>
        <v>0</v>
      </c>
      <c r="K43" s="419" t="str">
        <f>IF(J44=0,"0",J43/J44*100)</f>
        <v>0</v>
      </c>
      <c r="L43" s="409">
        <f>IF((E43*5/Q43)&lt;=5,(E43*5/Q43),5)</f>
        <v>0</v>
      </c>
      <c r="M43" s="409">
        <f>IF((G43*5/Q43)&lt;=5,(G43*5/Q43),5)</f>
        <v>0</v>
      </c>
      <c r="N43" s="409">
        <f>IF((I43*5/Q43)&lt;=5,(I43*5/Q43),5)</f>
        <v>0</v>
      </c>
      <c r="O43" s="409">
        <f>IF((K43*5/Q43)&lt;=5,(K43*5/Q43),5)</f>
        <v>0</v>
      </c>
      <c r="P43" s="402"/>
      <c r="Q43" s="427">
        <v>20</v>
      </c>
    </row>
    <row r="44" spans="1:17" s="136" customFormat="1" ht="23.25">
      <c r="A44" s="403"/>
      <c r="B44" s="417"/>
      <c r="C44" s="418"/>
      <c r="D44" s="230">
        <f>(data!F159+data!F277)</f>
        <v>0</v>
      </c>
      <c r="E44" s="419"/>
      <c r="F44" s="230">
        <f>(data!G159+data!G277)</f>
        <v>0</v>
      </c>
      <c r="G44" s="419"/>
      <c r="H44" s="230">
        <f>(data!H159+data!H277)</f>
        <v>0</v>
      </c>
      <c r="I44" s="419"/>
      <c r="J44" s="230">
        <f>(data!I159+data!I277)</f>
        <v>0</v>
      </c>
      <c r="K44" s="419"/>
      <c r="L44" s="409"/>
      <c r="M44" s="409"/>
      <c r="N44" s="409"/>
      <c r="O44" s="409"/>
      <c r="P44" s="420"/>
      <c r="Q44" s="428"/>
    </row>
    <row r="45" spans="1:16" s="136" customFormat="1" ht="43.5">
      <c r="A45" s="148"/>
      <c r="B45" s="231" t="s">
        <v>234</v>
      </c>
      <c r="C45" s="232" t="s">
        <v>235</v>
      </c>
      <c r="D45" s="235">
        <f>data!F296</f>
        <v>0</v>
      </c>
      <c r="E45" s="235">
        <f>D45*0.125</f>
        <v>0</v>
      </c>
      <c r="F45" s="235">
        <f>data!G296</f>
        <v>0</v>
      </c>
      <c r="G45" s="235">
        <f>F45*0.125</f>
        <v>0</v>
      </c>
      <c r="H45" s="235">
        <f>data!H296</f>
        <v>0</v>
      </c>
      <c r="I45" s="235">
        <f>H45*0.125</f>
        <v>0</v>
      </c>
      <c r="J45" s="235">
        <f>data!I296</f>
        <v>0</v>
      </c>
      <c r="K45" s="235">
        <f>J45*0.125</f>
        <v>0</v>
      </c>
      <c r="L45" s="149"/>
      <c r="M45" s="149"/>
      <c r="N45" s="149"/>
      <c r="O45" s="149"/>
      <c r="P45" s="149"/>
    </row>
    <row r="46" spans="1:16" s="136" customFormat="1" ht="43.5">
      <c r="A46" s="148"/>
      <c r="B46" s="231" t="s">
        <v>236</v>
      </c>
      <c r="C46" s="232" t="s">
        <v>235</v>
      </c>
      <c r="D46" s="235">
        <f>data!F297</f>
        <v>0</v>
      </c>
      <c r="E46" s="235">
        <f>D46*0.25</f>
        <v>0</v>
      </c>
      <c r="F46" s="235">
        <f>data!G297</f>
        <v>0</v>
      </c>
      <c r="G46" s="235">
        <f>F46*0.25</f>
        <v>0</v>
      </c>
      <c r="H46" s="235">
        <f>data!H297</f>
        <v>0</v>
      </c>
      <c r="I46" s="235">
        <f>H46*0.25</f>
        <v>0</v>
      </c>
      <c r="J46" s="235">
        <f>data!I297</f>
        <v>0</v>
      </c>
      <c r="K46" s="235">
        <f>J46*0.25</f>
        <v>0</v>
      </c>
      <c r="L46" s="149"/>
      <c r="M46" s="149"/>
      <c r="N46" s="149"/>
      <c r="O46" s="149"/>
      <c r="P46" s="149"/>
    </row>
    <row r="47" spans="1:16" s="136" customFormat="1" ht="43.5">
      <c r="A47" s="148"/>
      <c r="B47" s="231" t="s">
        <v>237</v>
      </c>
      <c r="C47" s="232" t="s">
        <v>235</v>
      </c>
      <c r="D47" s="235">
        <f>data!F298</f>
        <v>0</v>
      </c>
      <c r="E47" s="235">
        <f>D47*0.25</f>
        <v>0</v>
      </c>
      <c r="F47" s="235">
        <f>data!G298</f>
        <v>0</v>
      </c>
      <c r="G47" s="235">
        <f>F47*0.25</f>
        <v>0</v>
      </c>
      <c r="H47" s="235">
        <f>data!H298</f>
        <v>0</v>
      </c>
      <c r="I47" s="235">
        <f>H47*0.25</f>
        <v>0</v>
      </c>
      <c r="J47" s="235">
        <f>data!I298</f>
        <v>0</v>
      </c>
      <c r="K47" s="235">
        <f>J47*0.25</f>
        <v>0</v>
      </c>
      <c r="L47" s="149"/>
      <c r="M47" s="149"/>
      <c r="N47" s="149"/>
      <c r="O47" s="149"/>
      <c r="P47" s="149"/>
    </row>
    <row r="48" spans="1:17" s="136" customFormat="1" ht="43.5">
      <c r="A48" s="148"/>
      <c r="B48" s="231" t="s">
        <v>238</v>
      </c>
      <c r="C48" s="232" t="s">
        <v>235</v>
      </c>
      <c r="D48" s="235">
        <f>data!F299</f>
        <v>0</v>
      </c>
      <c r="E48" s="235">
        <f>D48*0.5</f>
        <v>0</v>
      </c>
      <c r="F48" s="235">
        <f>data!G299</f>
        <v>0</v>
      </c>
      <c r="G48" s="235">
        <f>F48*0.5</f>
        <v>0</v>
      </c>
      <c r="H48" s="235">
        <f>data!H299</f>
        <v>0</v>
      </c>
      <c r="I48" s="235">
        <f>H48*0.5</f>
        <v>0</v>
      </c>
      <c r="J48" s="235">
        <f>data!I299</f>
        <v>0</v>
      </c>
      <c r="K48" s="235">
        <f>J48*0.5</f>
        <v>0</v>
      </c>
      <c r="L48" s="151"/>
      <c r="M48" s="151"/>
      <c r="N48" s="151"/>
      <c r="O48" s="151"/>
      <c r="P48" s="151"/>
      <c r="Q48" s="293"/>
    </row>
    <row r="49" spans="1:16" s="136" customFormat="1" ht="65.25">
      <c r="A49" s="148"/>
      <c r="B49" s="236" t="s">
        <v>239</v>
      </c>
      <c r="C49" s="237" t="s">
        <v>235</v>
      </c>
      <c r="D49" s="292">
        <f>data!F300</f>
        <v>0</v>
      </c>
      <c r="E49" s="292">
        <f>D49*0.75</f>
        <v>0</v>
      </c>
      <c r="F49" s="292">
        <f>data!G300</f>
        <v>0</v>
      </c>
      <c r="G49" s="292">
        <f>F49*0.75</f>
        <v>0</v>
      </c>
      <c r="H49" s="292">
        <f>data!H300</f>
        <v>0</v>
      </c>
      <c r="I49" s="292">
        <f>H49*0.75</f>
        <v>0</v>
      </c>
      <c r="J49" s="292">
        <f>data!I300</f>
        <v>0</v>
      </c>
      <c r="K49" s="292">
        <f>J49*0.75</f>
        <v>0</v>
      </c>
      <c r="L49" s="149"/>
      <c r="M49" s="149"/>
      <c r="N49" s="149"/>
      <c r="O49" s="149"/>
      <c r="P49" s="149"/>
    </row>
    <row r="50" spans="1:16" s="136" customFormat="1" ht="65.25">
      <c r="A50" s="148"/>
      <c r="B50" s="231" t="s">
        <v>240</v>
      </c>
      <c r="C50" s="232" t="s">
        <v>235</v>
      </c>
      <c r="D50" s="235">
        <f>data!F301</f>
        <v>0</v>
      </c>
      <c r="E50" s="235">
        <f>D50*1</f>
        <v>0</v>
      </c>
      <c r="F50" s="235">
        <f>data!G301</f>
        <v>0</v>
      </c>
      <c r="G50" s="235">
        <f>F50*1</f>
        <v>0</v>
      </c>
      <c r="H50" s="235">
        <f>data!H301</f>
        <v>0</v>
      </c>
      <c r="I50" s="235">
        <f>H50*1</f>
        <v>0</v>
      </c>
      <c r="J50" s="235">
        <f>data!I301</f>
        <v>0</v>
      </c>
      <c r="K50" s="235">
        <f>J50*1</f>
        <v>0</v>
      </c>
      <c r="L50" s="152"/>
      <c r="M50" s="152"/>
      <c r="N50" s="149"/>
      <c r="O50" s="152"/>
      <c r="P50" s="149"/>
    </row>
    <row r="51" spans="1:16" s="136" customFormat="1" ht="43.5">
      <c r="A51" s="148"/>
      <c r="B51" s="231" t="s">
        <v>241</v>
      </c>
      <c r="C51" s="232" t="s">
        <v>235</v>
      </c>
      <c r="D51" s="235">
        <f>data!F303</f>
        <v>0</v>
      </c>
      <c r="E51" s="235">
        <f>D51*0.125</f>
        <v>0</v>
      </c>
      <c r="F51" s="235">
        <f>data!G303</f>
        <v>0</v>
      </c>
      <c r="G51" s="235">
        <f>F51*0.125</f>
        <v>0</v>
      </c>
      <c r="H51" s="235">
        <f>data!H303</f>
        <v>0</v>
      </c>
      <c r="I51" s="235">
        <f>H51*0.125</f>
        <v>0</v>
      </c>
      <c r="J51" s="235">
        <f>data!I303</f>
        <v>0</v>
      </c>
      <c r="K51" s="235">
        <f>J51*0.125</f>
        <v>0</v>
      </c>
      <c r="L51" s="152"/>
      <c r="M51" s="152"/>
      <c r="N51" s="149"/>
      <c r="O51" s="152"/>
      <c r="P51" s="149"/>
    </row>
    <row r="52" spans="1:16" s="136" customFormat="1" ht="43.5">
      <c r="A52" s="148"/>
      <c r="B52" s="231" t="s">
        <v>242</v>
      </c>
      <c r="C52" s="232" t="s">
        <v>235</v>
      </c>
      <c r="D52" s="235">
        <f>data!F304</f>
        <v>0</v>
      </c>
      <c r="E52" s="235">
        <f>D52*0.25</f>
        <v>0</v>
      </c>
      <c r="F52" s="235">
        <f>data!G304</f>
        <v>0</v>
      </c>
      <c r="G52" s="235">
        <f>F52*0.25</f>
        <v>0</v>
      </c>
      <c r="H52" s="235">
        <f>data!H304</f>
        <v>0</v>
      </c>
      <c r="I52" s="235">
        <f>H52*0.25</f>
        <v>0</v>
      </c>
      <c r="J52" s="235">
        <f>data!I304</f>
        <v>0</v>
      </c>
      <c r="K52" s="235">
        <f>J52*0.25</f>
        <v>0</v>
      </c>
      <c r="L52" s="149"/>
      <c r="M52" s="149"/>
      <c r="N52" s="149"/>
      <c r="O52" s="149"/>
      <c r="P52" s="149"/>
    </row>
    <row r="53" spans="1:16" s="136" customFormat="1" ht="65.25">
      <c r="A53" s="148"/>
      <c r="B53" s="231" t="s">
        <v>243</v>
      </c>
      <c r="C53" s="232" t="s">
        <v>235</v>
      </c>
      <c r="D53" s="235">
        <f>data!F305</f>
        <v>0</v>
      </c>
      <c r="E53" s="235">
        <f>D53*0.5</f>
        <v>0</v>
      </c>
      <c r="F53" s="235">
        <f>data!G305</f>
        <v>0</v>
      </c>
      <c r="G53" s="235">
        <f>F53*0.5</f>
        <v>0</v>
      </c>
      <c r="H53" s="235">
        <f>data!H305</f>
        <v>0</v>
      </c>
      <c r="I53" s="235">
        <f>H53*0.5</f>
        <v>0</v>
      </c>
      <c r="J53" s="235">
        <f>data!I305</f>
        <v>0</v>
      </c>
      <c r="K53" s="235">
        <f>J53*0.5</f>
        <v>0</v>
      </c>
      <c r="L53" s="149"/>
      <c r="M53" s="149"/>
      <c r="N53" s="149"/>
      <c r="O53" s="149"/>
      <c r="P53" s="149"/>
    </row>
    <row r="54" spans="1:16" s="136" customFormat="1" ht="43.5">
      <c r="A54" s="148"/>
      <c r="B54" s="231" t="s">
        <v>244</v>
      </c>
      <c r="C54" s="232" t="s">
        <v>235</v>
      </c>
      <c r="D54" s="235">
        <f>data!F306</f>
        <v>0</v>
      </c>
      <c r="E54" s="235">
        <f>D54*0.75</f>
        <v>0</v>
      </c>
      <c r="F54" s="235">
        <f>data!G306</f>
        <v>0</v>
      </c>
      <c r="G54" s="235">
        <f>F54*0.75</f>
        <v>0</v>
      </c>
      <c r="H54" s="235">
        <f>data!H306</f>
        <v>0</v>
      </c>
      <c r="I54" s="235">
        <f>H54*0.75</f>
        <v>0</v>
      </c>
      <c r="J54" s="235">
        <f>data!I306</f>
        <v>0</v>
      </c>
      <c r="K54" s="235">
        <f>J54*0.75</f>
        <v>0</v>
      </c>
      <c r="L54" s="149"/>
      <c r="M54" s="149"/>
      <c r="N54" s="149"/>
      <c r="O54" s="149"/>
      <c r="P54" s="149"/>
    </row>
    <row r="55" spans="1:16" s="136" customFormat="1" ht="43.5">
      <c r="A55" s="150"/>
      <c r="B55" s="231" t="s">
        <v>245</v>
      </c>
      <c r="C55" s="232" t="s">
        <v>235</v>
      </c>
      <c r="D55" s="235">
        <f>data!F307</f>
        <v>0</v>
      </c>
      <c r="E55" s="235">
        <f>D55*1</f>
        <v>0</v>
      </c>
      <c r="F55" s="235">
        <f>data!G307</f>
        <v>0</v>
      </c>
      <c r="G55" s="235">
        <f>F55*1</f>
        <v>0</v>
      </c>
      <c r="H55" s="235">
        <f>data!H307</f>
        <v>0</v>
      </c>
      <c r="I55" s="235">
        <f>H55*1</f>
        <v>0</v>
      </c>
      <c r="J55" s="235">
        <f>data!I307</f>
        <v>0</v>
      </c>
      <c r="K55" s="235">
        <f>J55*1</f>
        <v>0</v>
      </c>
      <c r="L55" s="149"/>
      <c r="M55" s="149"/>
      <c r="N55" s="149"/>
      <c r="O55" s="149"/>
      <c r="P55" s="149"/>
    </row>
    <row r="56" spans="1:16" s="136" customFormat="1" ht="23.25">
      <c r="A56" s="420" t="s">
        <v>121</v>
      </c>
      <c r="B56" s="404" t="s">
        <v>123</v>
      </c>
      <c r="C56" s="418" t="s">
        <v>19</v>
      </c>
      <c r="D56" s="230">
        <f>data!F308+data!F313</f>
        <v>0</v>
      </c>
      <c r="E56" s="419" t="str">
        <f>IF(D57=0,"0",D56/D57*100)</f>
        <v>0</v>
      </c>
      <c r="F56" s="230">
        <f>data!G308+data!G313</f>
        <v>0</v>
      </c>
      <c r="G56" s="419" t="str">
        <f>IF(F57=0,"0",F56/F57*100)</f>
        <v>0</v>
      </c>
      <c r="H56" s="230">
        <f>data!H308+data!H313</f>
        <v>0</v>
      </c>
      <c r="I56" s="419" t="str">
        <f>IF(H57=0,"0",H56/H57*100)</f>
        <v>0</v>
      </c>
      <c r="J56" s="230">
        <f>data!I308+data!I313</f>
        <v>0</v>
      </c>
      <c r="K56" s="419" t="str">
        <f>IF(J57=0,"0",J56/J57*100)</f>
        <v>0</v>
      </c>
      <c r="L56" s="409">
        <f>IF((E56*5/20)&lt;=5,(E56*5/20),5)</f>
        <v>0</v>
      </c>
      <c r="M56" s="409">
        <f>IF((G56*5/20)&lt;=5,(G56*5/20),5)</f>
        <v>0</v>
      </c>
      <c r="N56" s="409">
        <f>IF((I56*5/20)&lt;=5,(I56*5/20),5)</f>
        <v>0</v>
      </c>
      <c r="O56" s="409">
        <f>IF((K56*5/20)&lt;=5,(K56*5/20),5)</f>
        <v>0</v>
      </c>
      <c r="P56" s="402"/>
    </row>
    <row r="57" spans="1:16" s="136" customFormat="1" ht="23.25">
      <c r="A57" s="402"/>
      <c r="B57" s="421"/>
      <c r="C57" s="418"/>
      <c r="D57" s="230">
        <f>data!F159+data!F277</f>
        <v>0</v>
      </c>
      <c r="E57" s="419"/>
      <c r="F57" s="230">
        <f>data!G159+data!G277</f>
        <v>0</v>
      </c>
      <c r="G57" s="419"/>
      <c r="H57" s="230">
        <f>data!H159+data!H277</f>
        <v>0</v>
      </c>
      <c r="I57" s="419"/>
      <c r="J57" s="230">
        <f>data!I159+data!I277</f>
        <v>0</v>
      </c>
      <c r="K57" s="419"/>
      <c r="L57" s="409"/>
      <c r="M57" s="409"/>
      <c r="N57" s="409"/>
      <c r="O57" s="409"/>
      <c r="P57" s="420"/>
    </row>
    <row r="58" spans="1:16" s="136" customFormat="1" ht="23.25">
      <c r="A58" s="402" t="s">
        <v>118</v>
      </c>
      <c r="B58" s="416" t="s">
        <v>119</v>
      </c>
      <c r="C58" s="418" t="s">
        <v>19</v>
      </c>
      <c r="D58" s="230">
        <f>SUM(E60:E63)</f>
        <v>0</v>
      </c>
      <c r="E58" s="419" t="str">
        <f>IF(D59=0,"0",D58/D59*100)</f>
        <v>0</v>
      </c>
      <c r="F58" s="230">
        <f>SUM(G60:G63)</f>
        <v>0</v>
      </c>
      <c r="G58" s="419" t="str">
        <f>IF(F59=0,"0",F58/F59*100)</f>
        <v>0</v>
      </c>
      <c r="H58" s="230">
        <f>SUM(I60:I63)</f>
        <v>0</v>
      </c>
      <c r="I58" s="419" t="str">
        <f>IF(H59=0,"0",H58/H59*100)</f>
        <v>0</v>
      </c>
      <c r="J58" s="230">
        <f>SUM(K60:K63)</f>
        <v>0</v>
      </c>
      <c r="K58" s="419" t="str">
        <f>IF(J59=0,"0",J58/J59*100)</f>
        <v>0</v>
      </c>
      <c r="L58" s="409">
        <f>IF((E58*5/10)&lt;=5,(E58*5/10),5)</f>
        <v>0</v>
      </c>
      <c r="M58" s="409">
        <f>IF((G58*5/10)&lt;=5,(G58*5/10),5)</f>
        <v>0</v>
      </c>
      <c r="N58" s="409">
        <f>IF((I58*5/10)&lt;=5,(I58*5/10),5)</f>
        <v>0</v>
      </c>
      <c r="O58" s="409">
        <f>IF((K58*5/10)&lt;=5,(K58*5/10),5)</f>
        <v>0</v>
      </c>
      <c r="P58" s="402"/>
    </row>
    <row r="59" spans="1:16" s="136" customFormat="1" ht="23.25">
      <c r="A59" s="403"/>
      <c r="B59" s="417"/>
      <c r="C59" s="418"/>
      <c r="D59" s="230">
        <f>data!F159+data!F277</f>
        <v>0</v>
      </c>
      <c r="E59" s="419"/>
      <c r="F59" s="230">
        <f>data!G159+data!G277</f>
        <v>0</v>
      </c>
      <c r="G59" s="419"/>
      <c r="H59" s="230">
        <f>data!H159+data!H277</f>
        <v>0</v>
      </c>
      <c r="I59" s="419"/>
      <c r="J59" s="230">
        <f>data!I159+data!I277</f>
        <v>0</v>
      </c>
      <c r="K59" s="419"/>
      <c r="L59" s="409"/>
      <c r="M59" s="409"/>
      <c r="N59" s="409"/>
      <c r="O59" s="409"/>
      <c r="P59" s="420"/>
    </row>
    <row r="60" spans="1:16" s="136" customFormat="1" ht="43.5">
      <c r="A60" s="218"/>
      <c r="B60" s="231" t="s">
        <v>246</v>
      </c>
      <c r="C60" s="232" t="s">
        <v>235</v>
      </c>
      <c r="D60" s="235">
        <f>data!F319</f>
        <v>0</v>
      </c>
      <c r="E60" s="235">
        <f>D60*0.25</f>
        <v>0</v>
      </c>
      <c r="F60" s="235">
        <f>data!G319</f>
        <v>0</v>
      </c>
      <c r="G60" s="235">
        <f>F60*0.25</f>
        <v>0</v>
      </c>
      <c r="H60" s="235">
        <f>data!H319</f>
        <v>0</v>
      </c>
      <c r="I60" s="235">
        <f>H60*0.25</f>
        <v>0</v>
      </c>
      <c r="J60" s="235">
        <f>data!I319</f>
        <v>0</v>
      </c>
      <c r="K60" s="235">
        <f>J60*0.25</f>
        <v>0</v>
      </c>
      <c r="L60" s="149"/>
      <c r="M60" s="149"/>
      <c r="N60" s="149"/>
      <c r="O60" s="149"/>
      <c r="P60" s="149"/>
    </row>
    <row r="61" spans="1:16" s="136" customFormat="1" ht="65.25">
      <c r="A61" s="218"/>
      <c r="B61" s="231" t="s">
        <v>247</v>
      </c>
      <c r="C61" s="232" t="s">
        <v>235</v>
      </c>
      <c r="D61" s="235">
        <f>data!F320</f>
        <v>0</v>
      </c>
      <c r="E61" s="235">
        <f>D61*0.5</f>
        <v>0</v>
      </c>
      <c r="F61" s="235">
        <f>data!G320</f>
        <v>0</v>
      </c>
      <c r="G61" s="235">
        <f>F61*0.5</f>
        <v>0</v>
      </c>
      <c r="H61" s="235">
        <f>data!H320</f>
        <v>0</v>
      </c>
      <c r="I61" s="235">
        <f>H61*0.5</f>
        <v>0</v>
      </c>
      <c r="J61" s="235">
        <f>data!I320</f>
        <v>0</v>
      </c>
      <c r="K61" s="235">
        <f>J61*0.5</f>
        <v>0</v>
      </c>
      <c r="L61" s="149"/>
      <c r="M61" s="149"/>
      <c r="N61" s="149"/>
      <c r="O61" s="149"/>
      <c r="P61" s="149"/>
    </row>
    <row r="62" spans="1:16" s="136" customFormat="1" ht="65.25">
      <c r="A62" s="218"/>
      <c r="B62" s="231" t="s">
        <v>248</v>
      </c>
      <c r="C62" s="232" t="s">
        <v>235</v>
      </c>
      <c r="D62" s="235">
        <f>data!F321</f>
        <v>0</v>
      </c>
      <c r="E62" s="235">
        <f>D62*0.75</f>
        <v>0</v>
      </c>
      <c r="F62" s="235">
        <f>data!G321</f>
        <v>0</v>
      </c>
      <c r="G62" s="235">
        <f>F62*0.75</f>
        <v>0</v>
      </c>
      <c r="H62" s="235">
        <f>data!H321</f>
        <v>0</v>
      </c>
      <c r="I62" s="235">
        <f>H62*0.75</f>
        <v>0</v>
      </c>
      <c r="J62" s="235">
        <f>data!I321</f>
        <v>0</v>
      </c>
      <c r="K62" s="235">
        <f>J62*0.75</f>
        <v>0</v>
      </c>
      <c r="L62" s="149"/>
      <c r="M62" s="149"/>
      <c r="N62" s="149"/>
      <c r="O62" s="149"/>
      <c r="P62" s="149"/>
    </row>
    <row r="63" spans="1:16" s="136" customFormat="1" ht="65.25">
      <c r="A63" s="219"/>
      <c r="B63" s="231" t="s">
        <v>249</v>
      </c>
      <c r="C63" s="232" t="s">
        <v>235</v>
      </c>
      <c r="D63" s="235">
        <f>data!F322</f>
        <v>0</v>
      </c>
      <c r="E63" s="235">
        <f>D63*1</f>
        <v>0</v>
      </c>
      <c r="F63" s="235">
        <f>data!G322</f>
        <v>0</v>
      </c>
      <c r="G63" s="235">
        <f>F63*1</f>
        <v>0</v>
      </c>
      <c r="H63" s="235">
        <f>data!H322</f>
        <v>0</v>
      </c>
      <c r="I63" s="235">
        <f>H63*1</f>
        <v>0</v>
      </c>
      <c r="J63" s="235">
        <f>data!I322</f>
        <v>0</v>
      </c>
      <c r="K63" s="235">
        <f>J63*1</f>
        <v>0</v>
      </c>
      <c r="L63" s="151"/>
      <c r="M63" s="151"/>
      <c r="N63" s="151"/>
      <c r="O63" s="151"/>
      <c r="P63" s="151"/>
    </row>
    <row r="64" spans="1:16" s="127" customFormat="1" ht="23.25">
      <c r="A64" s="415" t="s">
        <v>516</v>
      </c>
      <c r="B64" s="395"/>
      <c r="C64" s="395"/>
      <c r="D64" s="395"/>
      <c r="E64" s="395"/>
      <c r="F64" s="395"/>
      <c r="G64" s="395"/>
      <c r="H64" s="395"/>
      <c r="I64" s="395"/>
      <c r="J64" s="395"/>
      <c r="K64" s="124"/>
      <c r="L64" s="125">
        <f>SUM(L65,L71,L72)/3</f>
        <v>0</v>
      </c>
      <c r="M64" s="125">
        <f>SUM(M65,M71,M72)/3</f>
        <v>0</v>
      </c>
      <c r="N64" s="125">
        <f>SUM(N65,N71,N72)/3</f>
        <v>0</v>
      </c>
      <c r="O64" s="125">
        <f>SUM(O65,O71,O72)/3</f>
        <v>0</v>
      </c>
      <c r="P64" s="129"/>
    </row>
    <row r="65" spans="1:16" s="135" customFormat="1" ht="116.25">
      <c r="A65" s="252" t="s">
        <v>124</v>
      </c>
      <c r="B65" s="259" t="s">
        <v>133</v>
      </c>
      <c r="C65" s="260" t="s">
        <v>6</v>
      </c>
      <c r="D65" s="410">
        <f>COUNTIF(E66:E70,"1")</f>
        <v>0</v>
      </c>
      <c r="E65" s="411"/>
      <c r="F65" s="410">
        <f>COUNTIF(G66:G70,"1")</f>
        <v>0</v>
      </c>
      <c r="G65" s="411"/>
      <c r="H65" s="410">
        <f>COUNTIF(I66:I70,"1")</f>
        <v>0</v>
      </c>
      <c r="I65" s="411"/>
      <c r="J65" s="410">
        <f>COUNTIF(K66:K70,"1")</f>
        <v>0</v>
      </c>
      <c r="K65" s="411"/>
      <c r="L65" s="147">
        <f>IF(OR(D65="N/A",D65=0),0,IF(D65=1,1,IF(D65&lt;3,2,IF(D65&lt;4,3,IF(D65&lt;5,4,5)))))</f>
        <v>0</v>
      </c>
      <c r="M65" s="147">
        <f>IF(OR(F65="N/A",F65=0),0,IF(F65=1,1,IF(F65&lt;3,2,IF(F65&lt;4,3,IF(F65&lt;5,4,5)))))</f>
        <v>0</v>
      </c>
      <c r="N65" s="147">
        <f>IF(OR(H65="N/A",H65=0),0,IF(H65=1,1,IF(H65&lt;3,2,IF(H65&lt;4,3,IF(H65&lt;5,4,5)))))</f>
        <v>0</v>
      </c>
      <c r="O65" s="147">
        <f>IF(OR(J65="N/A",J65=0),0,IF(J65=1,1,IF(J65&lt;3,2,IF(J65&lt;4,3,IF(J65&lt;5,4,5)))))</f>
        <v>0</v>
      </c>
      <c r="P65" s="219"/>
    </row>
    <row r="66" spans="1:16" s="135" customFormat="1" ht="46.5">
      <c r="A66" s="284"/>
      <c r="B66" s="261" t="s">
        <v>134</v>
      </c>
      <c r="C66" s="260" t="s">
        <v>19</v>
      </c>
      <c r="D66" s="262" t="e">
        <f>data!F330/data!F329</f>
        <v>#DIV/0!</v>
      </c>
      <c r="E66" s="263" t="e">
        <f>IF(D66&gt;=10%,1,0)</f>
        <v>#DIV/0!</v>
      </c>
      <c r="F66" s="262" t="e">
        <f>data!G330/data!G329</f>
        <v>#DIV/0!</v>
      </c>
      <c r="G66" s="263" t="e">
        <f>IF(F66&gt;=10%,1,0)</f>
        <v>#DIV/0!</v>
      </c>
      <c r="H66" s="262" t="e">
        <f>data!H330/data!H329</f>
        <v>#DIV/0!</v>
      </c>
      <c r="I66" s="263" t="e">
        <f>IF(H66&gt;=10%,1,0)</f>
        <v>#DIV/0!</v>
      </c>
      <c r="J66" s="262" t="e">
        <f>data!I330/data!I329</f>
        <v>#DIV/0!</v>
      </c>
      <c r="K66" s="263" t="e">
        <f>IF(J66&gt;=10%,1,0)</f>
        <v>#DIV/0!</v>
      </c>
      <c r="L66" s="147"/>
      <c r="M66" s="147"/>
      <c r="N66" s="138"/>
      <c r="O66" s="147"/>
      <c r="P66" s="284"/>
    </row>
    <row r="67" spans="1:16" s="135" customFormat="1" ht="23.25">
      <c r="A67" s="218"/>
      <c r="B67" s="261" t="s">
        <v>135</v>
      </c>
      <c r="C67" s="284" t="s">
        <v>19</v>
      </c>
      <c r="D67" s="295" t="e">
        <f>data!F331/data!F329</f>
        <v>#DIV/0!</v>
      </c>
      <c r="E67" s="296" t="e">
        <f>IF(D67&gt;=10%,1,0)</f>
        <v>#DIV/0!</v>
      </c>
      <c r="F67" s="295" t="e">
        <f>data!G331/data!G329</f>
        <v>#DIV/0!</v>
      </c>
      <c r="G67" s="296" t="e">
        <f>IF(F67&gt;=10%,1,0)</f>
        <v>#DIV/0!</v>
      </c>
      <c r="H67" s="295" t="e">
        <f>data!H331/data!H329</f>
        <v>#DIV/0!</v>
      </c>
      <c r="I67" s="296" t="e">
        <f>IF(H67&gt;=10%,1,0)</f>
        <v>#DIV/0!</v>
      </c>
      <c r="J67" s="295" t="e">
        <f>data!I331/data!I329</f>
        <v>#DIV/0!</v>
      </c>
      <c r="K67" s="296" t="e">
        <f>IF(J67&gt;=10%,1,0)</f>
        <v>#DIV/0!</v>
      </c>
      <c r="L67" s="283"/>
      <c r="M67" s="283"/>
      <c r="N67" s="138"/>
      <c r="O67" s="283"/>
      <c r="P67" s="137"/>
    </row>
    <row r="68" spans="1:16" s="135" customFormat="1" ht="46.5">
      <c r="A68" s="218"/>
      <c r="B68" s="261" t="s">
        <v>136</v>
      </c>
      <c r="C68" s="260" t="s">
        <v>19</v>
      </c>
      <c r="D68" s="264" t="e">
        <f>data!F333/data!F329</f>
        <v>#DIV/0!</v>
      </c>
      <c r="E68" s="263" t="e">
        <f>IF(D68&gt;=5%,1,0)</f>
        <v>#DIV/0!</v>
      </c>
      <c r="F68" s="264" t="e">
        <f>data!G333/data!G329</f>
        <v>#DIV/0!</v>
      </c>
      <c r="G68" s="263" t="e">
        <f>IF(F68&gt;=5%,1,0)</f>
        <v>#DIV/0!</v>
      </c>
      <c r="H68" s="264" t="e">
        <f>data!H333/data!H329</f>
        <v>#DIV/0!</v>
      </c>
      <c r="I68" s="263" t="e">
        <f>IF(H68&gt;=5%,1,0)</f>
        <v>#DIV/0!</v>
      </c>
      <c r="J68" s="264" t="e">
        <f>data!I333/data!I329</f>
        <v>#DIV/0!</v>
      </c>
      <c r="K68" s="263" t="e">
        <f>IF(J68&gt;=5%,1,0)</f>
        <v>#DIV/0!</v>
      </c>
      <c r="L68" s="147"/>
      <c r="M68" s="147"/>
      <c r="N68" s="138"/>
      <c r="O68" s="147"/>
      <c r="P68" s="137"/>
    </row>
    <row r="69" spans="1:16" s="135" customFormat="1" ht="46.5">
      <c r="A69" s="218"/>
      <c r="B69" s="261" t="s">
        <v>137</v>
      </c>
      <c r="C69" s="260" t="s">
        <v>19</v>
      </c>
      <c r="D69" s="264" t="e">
        <f>data!F334/data!F329</f>
        <v>#DIV/0!</v>
      </c>
      <c r="E69" s="263" t="e">
        <f>IF(D69&gt;=5%,1,0)</f>
        <v>#DIV/0!</v>
      </c>
      <c r="F69" s="264" t="e">
        <f>data!G334/data!G329</f>
        <v>#DIV/0!</v>
      </c>
      <c r="G69" s="263" t="e">
        <f>IF(F69&gt;=5%,1,0)</f>
        <v>#DIV/0!</v>
      </c>
      <c r="H69" s="264" t="e">
        <f>data!H334/data!H329</f>
        <v>#DIV/0!</v>
      </c>
      <c r="I69" s="263" t="e">
        <f>IF(H69&gt;=5%,1,0)</f>
        <v>#DIV/0!</v>
      </c>
      <c r="J69" s="264" t="e">
        <f>data!I334/data!I329</f>
        <v>#DIV/0!</v>
      </c>
      <c r="K69" s="263" t="e">
        <f>IF(J69&gt;=5%,1,0)</f>
        <v>#DIV/0!</v>
      </c>
      <c r="L69" s="147"/>
      <c r="M69" s="147"/>
      <c r="N69" s="138"/>
      <c r="O69" s="147"/>
      <c r="P69" s="137"/>
    </row>
    <row r="70" spans="1:16" s="135" customFormat="1" ht="46.5">
      <c r="A70" s="253"/>
      <c r="B70" s="261" t="s">
        <v>138</v>
      </c>
      <c r="C70" s="260" t="s">
        <v>19</v>
      </c>
      <c r="D70" s="262" t="e">
        <f>data!F335/data!F329</f>
        <v>#DIV/0!</v>
      </c>
      <c r="E70" s="263" t="e">
        <f>IF(D70&gt;=5%,1,0)</f>
        <v>#DIV/0!</v>
      </c>
      <c r="F70" s="262" t="e">
        <f>data!G335/data!G329</f>
        <v>#DIV/0!</v>
      </c>
      <c r="G70" s="263" t="e">
        <f>IF(F70&gt;=5%,1,0)</f>
        <v>#DIV/0!</v>
      </c>
      <c r="H70" s="262" t="e">
        <f>data!H335/data!H329</f>
        <v>#DIV/0!</v>
      </c>
      <c r="I70" s="263" t="e">
        <f>IF(H70&gt;=5%,1,0)</f>
        <v>#DIV/0!</v>
      </c>
      <c r="J70" s="262" t="e">
        <f>data!I335/data!I329</f>
        <v>#DIV/0!</v>
      </c>
      <c r="K70" s="263" t="e">
        <f>IF(J70&gt;=5%,1,0)</f>
        <v>#DIV/0!</v>
      </c>
      <c r="L70" s="147"/>
      <c r="M70" s="147"/>
      <c r="N70" s="138"/>
      <c r="O70" s="147"/>
      <c r="P70" s="137"/>
    </row>
    <row r="71" spans="1:16" s="135" customFormat="1" ht="46.5">
      <c r="A71" s="227" t="s">
        <v>125</v>
      </c>
      <c r="B71" s="238" t="s">
        <v>128</v>
      </c>
      <c r="C71" s="227" t="s">
        <v>6</v>
      </c>
      <c r="D71" s="398">
        <f>data!F341</f>
        <v>0</v>
      </c>
      <c r="E71" s="399"/>
      <c r="F71" s="398">
        <f>data!G341</f>
        <v>0</v>
      </c>
      <c r="G71" s="399"/>
      <c r="H71" s="398">
        <f>data!H341</f>
        <v>0</v>
      </c>
      <c r="I71" s="399"/>
      <c r="J71" s="398">
        <f>data!I341</f>
        <v>0</v>
      </c>
      <c r="K71" s="399"/>
      <c r="L71" s="228">
        <f>IF(OR(D71="N/A",D71=0),0,IF(D71=1,1,IF(D71&lt;3,2,IF(D71&lt;4,3,IF(D71&lt;5,4,5)))))</f>
        <v>0</v>
      </c>
      <c r="M71" s="228">
        <f>IF(OR(F71="N/A",F71=0),0,IF(F71=1,1,IF(F71&lt;3,2,IF(F71&lt;4,3,IF(F71&lt;5,4,5)))))</f>
        <v>0</v>
      </c>
      <c r="N71" s="228">
        <f>IF(OR(H71="N/A",H71=0),0,IF(H71=1,1,IF(H71&lt;3,2,IF(H71&lt;4,3,IF(H71&lt;5,4,5)))))</f>
        <v>0</v>
      </c>
      <c r="O71" s="228">
        <f>IF(OR(J71="N/A",J71=0),0,IF(J71=1,1,IF(J71&lt;3,2,IF(J71&lt;4,3,IF(J71&lt;5,4,5)))))</f>
        <v>0</v>
      </c>
      <c r="P71" s="139"/>
    </row>
    <row r="72" spans="1:16" s="135" customFormat="1" ht="46.5">
      <c r="A72" s="227" t="s">
        <v>126</v>
      </c>
      <c r="B72" s="238" t="s">
        <v>129</v>
      </c>
      <c r="C72" s="227" t="s">
        <v>6</v>
      </c>
      <c r="D72" s="398">
        <f>data!F342</f>
        <v>0</v>
      </c>
      <c r="E72" s="399"/>
      <c r="F72" s="398">
        <f>data!G342</f>
        <v>0</v>
      </c>
      <c r="G72" s="399"/>
      <c r="H72" s="398">
        <f>data!H342</f>
        <v>0</v>
      </c>
      <c r="I72" s="399"/>
      <c r="J72" s="398">
        <f>data!I342</f>
        <v>0</v>
      </c>
      <c r="K72" s="399"/>
      <c r="L72" s="228">
        <f>IF(OR(D72="N/A",D72=0),0,IF(D72=1,1,IF(D72&lt;3,2,IF(D72&lt;4,3,IF(D72&lt;5,4,5)))))</f>
        <v>0</v>
      </c>
      <c r="M72" s="228">
        <f>IF(OR(F72="N/A",F72=0),0,IF(F72=1,1,IF(F72&lt;3,2,IF(F72&lt;4,3,IF(F72&lt;5,4,5)))))</f>
        <v>0</v>
      </c>
      <c r="N72" s="228">
        <f>IF(OR(H72="N/A",H72=0),0,IF(H72=1,1,IF(H72&lt;3,2,IF(H72&lt;4,3,IF(H72&lt;5,4,5)))))</f>
        <v>0</v>
      </c>
      <c r="O72" s="228">
        <f>IF(OR(J72="N/A",J72=0),0,IF(J72=1,1,IF(J72&lt;3,2,IF(J72&lt;4,3,IF(J72&lt;5,4,5)))))</f>
        <v>0</v>
      </c>
      <c r="P72" s="139"/>
    </row>
    <row r="73" spans="1:16" s="127" customFormat="1" ht="23.25">
      <c r="A73" s="394" t="s">
        <v>220</v>
      </c>
      <c r="B73" s="395"/>
      <c r="C73" s="395"/>
      <c r="D73" s="395"/>
      <c r="E73" s="395"/>
      <c r="F73" s="395"/>
      <c r="G73" s="395"/>
      <c r="H73" s="395"/>
      <c r="I73" s="395"/>
      <c r="J73" s="395"/>
      <c r="K73" s="124"/>
      <c r="L73" s="125">
        <f>SUM(L74,L75)/2</f>
        <v>0</v>
      </c>
      <c r="M73" s="125">
        <f>SUM(M74,M75)/2</f>
        <v>0</v>
      </c>
      <c r="N73" s="125">
        <f>SUM(N74,N75)/2</f>
        <v>0</v>
      </c>
      <c r="O73" s="125">
        <f>SUM(O74,O75)/2</f>
        <v>0</v>
      </c>
      <c r="P73" s="129"/>
    </row>
    <row r="74" spans="1:16" s="135" customFormat="1" ht="46.5">
      <c r="A74" s="227" t="s">
        <v>127</v>
      </c>
      <c r="B74" s="238" t="s">
        <v>130</v>
      </c>
      <c r="C74" s="227" t="s">
        <v>6</v>
      </c>
      <c r="D74" s="413">
        <f>data!F358</f>
        <v>0</v>
      </c>
      <c r="E74" s="414"/>
      <c r="F74" s="413">
        <f>data!G358</f>
        <v>0</v>
      </c>
      <c r="G74" s="414"/>
      <c r="H74" s="398">
        <f>data!H358</f>
        <v>0</v>
      </c>
      <c r="I74" s="399"/>
      <c r="J74" s="398">
        <f>data!I358</f>
        <v>0</v>
      </c>
      <c r="K74" s="399"/>
      <c r="L74" s="258">
        <f>IF(OR(D74="N/A",D74=0),0,IF(D74=1,1,IF(D74&lt;3,2,IF(D74&lt;4,3,IF(D74&lt;5,4,5)))))</f>
        <v>0</v>
      </c>
      <c r="M74" s="258">
        <f>IF(OR(F74="N/A",F74=0),0,IF(F74=1,1,IF(F74&lt;3,2,IF(F74&lt;4,3,IF(F74&lt;5,4,5)))))</f>
        <v>0</v>
      </c>
      <c r="N74" s="228">
        <f>IF(OR(H74="N/A",H74=0),0,IF(H74=1,1,IF(H74&lt;3,2,IF(H74&lt;4,3,IF(H74&lt;5,4,5)))))</f>
        <v>0</v>
      </c>
      <c r="O74" s="228">
        <f>IF(OR(J74="N/A",J74=0),0,IF(J74=1,1,IF(J74&lt;3,2,IF(J74&lt;4,3,IF(J74&lt;5,4,5)))))</f>
        <v>0</v>
      </c>
      <c r="P74" s="139"/>
    </row>
    <row r="75" spans="1:16" s="135" customFormat="1" ht="46.5">
      <c r="A75" s="227" t="s">
        <v>524</v>
      </c>
      <c r="B75" s="238" t="s">
        <v>525</v>
      </c>
      <c r="C75" s="227" t="s">
        <v>6</v>
      </c>
      <c r="D75" s="413">
        <f>data!F359</f>
        <v>0</v>
      </c>
      <c r="E75" s="414"/>
      <c r="F75" s="413">
        <f>data!G359</f>
        <v>0</v>
      </c>
      <c r="G75" s="414"/>
      <c r="H75" s="398">
        <f>data!H359</f>
        <v>0</v>
      </c>
      <c r="I75" s="399"/>
      <c r="J75" s="398">
        <f>data!I359</f>
        <v>0</v>
      </c>
      <c r="K75" s="399"/>
      <c r="L75" s="258">
        <f>IF(OR(D75="N/A",D75=0),0,IF(D75=1,1,IF(D75&lt;3,2,IF(D75&lt;4,3,IF(D75&lt;5,4,5)))))</f>
        <v>0</v>
      </c>
      <c r="M75" s="258">
        <f>IF(OR(F75="N/A",F75=0),0,IF(F75=1,1,IF(F75&lt;3,2,IF(F75&lt;4,3,IF(F75&lt;5,4,5)))))</f>
        <v>0</v>
      </c>
      <c r="N75" s="228">
        <f>IF(OR(H75="N/A",H75=0),0,IF(H75=1,1,IF(H75&lt;3,2,IF(H75&lt;4,3,IF(H75&lt;5,4,5)))))</f>
        <v>0</v>
      </c>
      <c r="O75" s="228">
        <f>IF(OR(J75="N/A",J75=0),0,IF(J75=1,1,IF(J75&lt;3,2,IF(J75&lt;4,3,IF(J75&lt;5,4,5)))))</f>
        <v>0</v>
      </c>
      <c r="P75" s="139"/>
    </row>
    <row r="76" spans="1:16" s="127" customFormat="1" ht="23.25">
      <c r="A76" s="394" t="s">
        <v>523</v>
      </c>
      <c r="B76" s="395"/>
      <c r="C76" s="395"/>
      <c r="D76" s="395"/>
      <c r="E76" s="395"/>
      <c r="F76" s="395"/>
      <c r="G76" s="395"/>
      <c r="H76" s="395"/>
      <c r="I76" s="395"/>
      <c r="J76" s="395"/>
      <c r="K76" s="124"/>
      <c r="L76" s="125">
        <f>SUM(L77)/1</f>
        <v>0</v>
      </c>
      <c r="M76" s="125">
        <f>SUM(M77)/1</f>
        <v>0</v>
      </c>
      <c r="N76" s="125">
        <f>SUM(N77)/1</f>
        <v>0</v>
      </c>
      <c r="O76" s="125">
        <f>SUM(O77)/1</f>
        <v>0</v>
      </c>
      <c r="P76" s="129"/>
    </row>
    <row r="77" spans="1:16" s="135" customFormat="1" ht="46.5">
      <c r="A77" s="227" t="s">
        <v>526</v>
      </c>
      <c r="B77" s="238" t="s">
        <v>527</v>
      </c>
      <c r="C77" s="227" t="s">
        <v>6</v>
      </c>
      <c r="D77" s="396">
        <f>data!F372</f>
        <v>0</v>
      </c>
      <c r="E77" s="397"/>
      <c r="F77" s="396">
        <f>data!G372</f>
        <v>0</v>
      </c>
      <c r="G77" s="397"/>
      <c r="H77" s="398">
        <f>data!H372</f>
        <v>0</v>
      </c>
      <c r="I77" s="399"/>
      <c r="J77" s="398">
        <f>data!I372</f>
        <v>0</v>
      </c>
      <c r="K77" s="399"/>
      <c r="L77" s="239">
        <f>D77/1</f>
        <v>0</v>
      </c>
      <c r="M77" s="239">
        <f>F77/1</f>
        <v>0</v>
      </c>
      <c r="N77" s="228">
        <f>H77/1</f>
        <v>0</v>
      </c>
      <c r="O77" s="228">
        <f>J77/1</f>
        <v>0</v>
      </c>
      <c r="P77" s="139"/>
    </row>
    <row r="78" spans="1:16" s="127" customFormat="1" ht="23.25">
      <c r="A78" s="394" t="s">
        <v>514</v>
      </c>
      <c r="B78" s="395"/>
      <c r="C78" s="395"/>
      <c r="D78" s="395"/>
      <c r="E78" s="395"/>
      <c r="F78" s="395"/>
      <c r="G78" s="395"/>
      <c r="H78" s="395"/>
      <c r="I78" s="395"/>
      <c r="J78" s="395"/>
      <c r="K78" s="124"/>
      <c r="L78" s="125">
        <f>SUM(L79)/1</f>
        <v>0</v>
      </c>
      <c r="M78" s="125">
        <f>SUM(M79)/1</f>
        <v>0</v>
      </c>
      <c r="N78" s="125">
        <f>SUM(N79)/1</f>
        <v>0</v>
      </c>
      <c r="O78" s="125">
        <f>SUM(O79)/1</f>
        <v>0</v>
      </c>
      <c r="P78" s="129"/>
    </row>
    <row r="79" spans="1:16" s="135" customFormat="1" ht="46.5">
      <c r="A79" s="227" t="s">
        <v>513</v>
      </c>
      <c r="B79" s="238" t="s">
        <v>515</v>
      </c>
      <c r="C79" s="227" t="s">
        <v>6</v>
      </c>
      <c r="D79" s="396">
        <f>data!F390</f>
        <v>0</v>
      </c>
      <c r="E79" s="397"/>
      <c r="F79" s="396">
        <f>data!G390</f>
        <v>0</v>
      </c>
      <c r="G79" s="397"/>
      <c r="H79" s="398">
        <f>data!H390</f>
        <v>0</v>
      </c>
      <c r="I79" s="399"/>
      <c r="J79" s="398">
        <f>data!I390</f>
        <v>0</v>
      </c>
      <c r="K79" s="399"/>
      <c r="L79" s="239">
        <f>D79/1</f>
        <v>0</v>
      </c>
      <c r="M79" s="239">
        <f>F79/1</f>
        <v>0</v>
      </c>
      <c r="N79" s="228">
        <f>H79/1</f>
        <v>0</v>
      </c>
      <c r="O79" s="228">
        <f>J79/1</f>
        <v>0</v>
      </c>
      <c r="P79" s="139"/>
    </row>
    <row r="81" ht="21">
      <c r="B81" s="26"/>
    </row>
    <row r="82" ht="21">
      <c r="B82" s="26"/>
    </row>
  </sheetData>
  <sheetProtection/>
  <mergeCells count="161">
    <mergeCell ref="A10:J10"/>
    <mergeCell ref="D11:E11"/>
    <mergeCell ref="F11:G11"/>
    <mergeCell ref="H11:I11"/>
    <mergeCell ref="J11:K11"/>
    <mergeCell ref="A76:J76"/>
    <mergeCell ref="D74:E74"/>
    <mergeCell ref="D72:E72"/>
    <mergeCell ref="I17:I18"/>
    <mergeCell ref="E15:E16"/>
    <mergeCell ref="D77:E77"/>
    <mergeCell ref="F77:G77"/>
    <mergeCell ref="H77:I77"/>
    <mergeCell ref="J77:K77"/>
    <mergeCell ref="D75:E75"/>
    <mergeCell ref="F75:G75"/>
    <mergeCell ref="H75:I75"/>
    <mergeCell ref="J75:K75"/>
    <mergeCell ref="L4:O4"/>
    <mergeCell ref="L6:N8"/>
    <mergeCell ref="L13:L14"/>
    <mergeCell ref="L19:L20"/>
    <mergeCell ref="E43:E44"/>
    <mergeCell ref="D65:E65"/>
    <mergeCell ref="L56:L57"/>
    <mergeCell ref="E32:E33"/>
    <mergeCell ref="E40:E41"/>
    <mergeCell ref="A9:K9"/>
    <mergeCell ref="Q43:Q44"/>
    <mergeCell ref="P15:P16"/>
    <mergeCell ref="P17:P18"/>
    <mergeCell ref="A1:P1"/>
    <mergeCell ref="A2:P2"/>
    <mergeCell ref="D6:I6"/>
    <mergeCell ref="E13:E14"/>
    <mergeCell ref="L32:L33"/>
    <mergeCell ref="L40:L41"/>
    <mergeCell ref="L43:L44"/>
    <mergeCell ref="N5:O5"/>
    <mergeCell ref="F5:G5"/>
    <mergeCell ref="H5:K5"/>
    <mergeCell ref="P5:P8"/>
    <mergeCell ref="J6:K6"/>
    <mergeCell ref="O6:O8"/>
    <mergeCell ref="A4:B8"/>
    <mergeCell ref="D4:K4"/>
    <mergeCell ref="D5:E5"/>
    <mergeCell ref="A42:J42"/>
    <mergeCell ref="A40:A41"/>
    <mergeCell ref="B40:B41"/>
    <mergeCell ref="C40:C41"/>
    <mergeCell ref="G40:G41"/>
    <mergeCell ref="A12:J12"/>
    <mergeCell ref="I40:I41"/>
    <mergeCell ref="K19:K20"/>
    <mergeCell ref="M13:M14"/>
    <mergeCell ref="N13:N14"/>
    <mergeCell ref="O13:O14"/>
    <mergeCell ref="A13:A14"/>
    <mergeCell ref="B13:B14"/>
    <mergeCell ref="C13:C14"/>
    <mergeCell ref="G13:G14"/>
    <mergeCell ref="I13:I14"/>
    <mergeCell ref="K13:K14"/>
    <mergeCell ref="M19:M20"/>
    <mergeCell ref="N19:N20"/>
    <mergeCell ref="O19:O20"/>
    <mergeCell ref="K32:K33"/>
    <mergeCell ref="P13:P14"/>
    <mergeCell ref="A19:A20"/>
    <mergeCell ref="B19:B20"/>
    <mergeCell ref="C19:C20"/>
    <mergeCell ref="G19:G20"/>
    <mergeCell ref="I19:I20"/>
    <mergeCell ref="P19:P20"/>
    <mergeCell ref="A32:A33"/>
    <mergeCell ref="B32:B33"/>
    <mergeCell ref="C32:C33"/>
    <mergeCell ref="G32:G33"/>
    <mergeCell ref="I32:I33"/>
    <mergeCell ref="P32:P33"/>
    <mergeCell ref="M32:M33"/>
    <mergeCell ref="N32:N33"/>
    <mergeCell ref="O32:O33"/>
    <mergeCell ref="K40:K41"/>
    <mergeCell ref="P40:P41"/>
    <mergeCell ref="M40:M41"/>
    <mergeCell ref="N40:N41"/>
    <mergeCell ref="O40:O41"/>
    <mergeCell ref="E58:E59"/>
    <mergeCell ref="M43:M44"/>
    <mergeCell ref="N43:N44"/>
    <mergeCell ref="O43:O44"/>
    <mergeCell ref="P43:P44"/>
    <mergeCell ref="A43:A44"/>
    <mergeCell ref="B43:B44"/>
    <mergeCell ref="C43:C44"/>
    <mergeCell ref="G43:G44"/>
    <mergeCell ref="I43:I44"/>
    <mergeCell ref="K43:K44"/>
    <mergeCell ref="L58:L59"/>
    <mergeCell ref="A56:A57"/>
    <mergeCell ref="B56:B57"/>
    <mergeCell ref="C56:C57"/>
    <mergeCell ref="G56:G57"/>
    <mergeCell ref="I56:I57"/>
    <mergeCell ref="K56:K57"/>
    <mergeCell ref="E56:E57"/>
    <mergeCell ref="M56:M57"/>
    <mergeCell ref="N56:N57"/>
    <mergeCell ref="O56:O57"/>
    <mergeCell ref="P56:P57"/>
    <mergeCell ref="N58:N59"/>
    <mergeCell ref="O58:O59"/>
    <mergeCell ref="P58:P59"/>
    <mergeCell ref="M58:M59"/>
    <mergeCell ref="J65:K65"/>
    <mergeCell ref="F71:G71"/>
    <mergeCell ref="A58:A59"/>
    <mergeCell ref="B58:B59"/>
    <mergeCell ref="C58:C59"/>
    <mergeCell ref="G58:G59"/>
    <mergeCell ref="I58:I59"/>
    <mergeCell ref="K58:K59"/>
    <mergeCell ref="F74:G74"/>
    <mergeCell ref="H74:I74"/>
    <mergeCell ref="J74:K74"/>
    <mergeCell ref="H71:I71"/>
    <mergeCell ref="J71:K71"/>
    <mergeCell ref="A64:J64"/>
    <mergeCell ref="D71:E71"/>
    <mergeCell ref="F72:G72"/>
    <mergeCell ref="H72:I72"/>
    <mergeCell ref="J72:K72"/>
    <mergeCell ref="E17:E18"/>
    <mergeCell ref="G15:G16"/>
    <mergeCell ref="K17:K18"/>
    <mergeCell ref="A73:J73"/>
    <mergeCell ref="F65:G65"/>
    <mergeCell ref="I15:I16"/>
    <mergeCell ref="K15:K16"/>
    <mergeCell ref="G17:G18"/>
    <mergeCell ref="C15:C16"/>
    <mergeCell ref="H65:I65"/>
    <mergeCell ref="M15:M16"/>
    <mergeCell ref="N15:N16"/>
    <mergeCell ref="O15:O16"/>
    <mergeCell ref="L17:L18"/>
    <mergeCell ref="M17:M18"/>
    <mergeCell ref="N17:N18"/>
    <mergeCell ref="O17:O18"/>
    <mergeCell ref="A78:J78"/>
    <mergeCell ref="D79:E79"/>
    <mergeCell ref="F79:G79"/>
    <mergeCell ref="H79:I79"/>
    <mergeCell ref="J79:K79"/>
    <mergeCell ref="L15:L16"/>
    <mergeCell ref="E19:E20"/>
    <mergeCell ref="A15:A18"/>
    <mergeCell ref="B15:B18"/>
    <mergeCell ref="C17:C18"/>
  </mergeCells>
  <printOptions/>
  <pageMargins left="0.1968503937007874" right="0.15748031496062992" top="0.4724409448818898" bottom="0.31496062992125984" header="0.15748031496062992" footer="0.15748031496062992"/>
  <pageSetup cellComments="asDisplayed" horizontalDpi="600" verticalDpi="600" orientation="landscape" paperSize="9" scale="77" r:id="rId3"/>
  <headerFooter>
    <oddHeader>&amp;R&amp;P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zoomScale="50" zoomScaleNormal="50" zoomScalePageLayoutView="0" workbookViewId="0" topLeftCell="A1">
      <selection activeCell="R16" sqref="R16"/>
    </sheetView>
  </sheetViews>
  <sheetFormatPr defaultColWidth="28.421875" defaultRowHeight="12.75"/>
  <cols>
    <col min="1" max="1" width="23.28125" style="85" customWidth="1"/>
    <col min="2" max="2" width="9.00390625" style="93" customWidth="1"/>
    <col min="3" max="3" width="9.28125" style="93" customWidth="1"/>
    <col min="4" max="4" width="9.57421875" style="93" bestFit="1" customWidth="1"/>
    <col min="5" max="6" width="9.00390625" style="93" customWidth="1"/>
    <col min="7" max="7" width="9.57421875" style="93" bestFit="1" customWidth="1"/>
    <col min="8" max="9" width="8.8515625" style="93" customWidth="1"/>
    <col min="10" max="10" width="8.421875" style="93" customWidth="1"/>
    <col min="11" max="11" width="9.7109375" style="93" customWidth="1"/>
    <col min="12" max="12" width="8.140625" style="93" customWidth="1"/>
    <col min="13" max="13" width="9.00390625" style="93" customWidth="1"/>
    <col min="14" max="14" width="9.57421875" style="93" bestFit="1" customWidth="1"/>
    <col min="15" max="15" width="8.7109375" style="93" customWidth="1"/>
    <col min="16" max="16" width="8.8515625" style="93" customWidth="1"/>
    <col min="17" max="17" width="9.57421875" style="93" bestFit="1" customWidth="1"/>
    <col min="18" max="18" width="9.00390625" style="93" customWidth="1"/>
    <col min="19" max="19" width="9.7109375" style="93" customWidth="1"/>
    <col min="20" max="20" width="10.00390625" style="93" customWidth="1"/>
    <col min="21" max="21" width="8.7109375" style="93" customWidth="1"/>
    <col min="22" max="22" width="8.8515625" style="93" customWidth="1"/>
    <col min="23" max="25" width="9.140625" style="93" customWidth="1"/>
    <col min="26" max="16384" width="28.421875" style="85" customWidth="1"/>
  </cols>
  <sheetData>
    <row r="1" spans="1:25" ht="23.25">
      <c r="A1" s="456" t="s">
        <v>383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25" ht="25.5">
      <c r="A2" s="457" t="s">
        <v>33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</row>
    <row r="3" spans="1:25" ht="23.25">
      <c r="A3" s="453" t="s">
        <v>27</v>
      </c>
      <c r="B3" s="450" t="s">
        <v>517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1"/>
      <c r="T3" s="458" t="s">
        <v>141</v>
      </c>
      <c r="U3" s="459"/>
      <c r="V3" s="459"/>
      <c r="W3" s="459"/>
      <c r="X3" s="459"/>
      <c r="Y3" s="460"/>
    </row>
    <row r="4" spans="1:25" ht="23.25">
      <c r="A4" s="454"/>
      <c r="B4" s="450" t="s">
        <v>29</v>
      </c>
      <c r="C4" s="451"/>
      <c r="D4" s="450" t="s">
        <v>30</v>
      </c>
      <c r="E4" s="452"/>
      <c r="F4" s="452"/>
      <c r="G4" s="452"/>
      <c r="H4" s="452"/>
      <c r="I4" s="451"/>
      <c r="J4" s="450" t="s">
        <v>31</v>
      </c>
      <c r="K4" s="452"/>
      <c r="L4" s="452"/>
      <c r="M4" s="451"/>
      <c r="N4" s="450" t="s">
        <v>32</v>
      </c>
      <c r="O4" s="452"/>
      <c r="P4" s="452"/>
      <c r="Q4" s="452"/>
      <c r="R4" s="452"/>
      <c r="S4" s="451"/>
      <c r="T4" s="461"/>
      <c r="U4" s="462"/>
      <c r="V4" s="462"/>
      <c r="W4" s="462"/>
      <c r="X4" s="462"/>
      <c r="Y4" s="463"/>
    </row>
    <row r="5" spans="1:25" ht="42">
      <c r="A5" s="454"/>
      <c r="B5" s="28" t="s">
        <v>12</v>
      </c>
      <c r="C5" s="28" t="s">
        <v>13</v>
      </c>
      <c r="D5" s="447" t="s">
        <v>12</v>
      </c>
      <c r="E5" s="448"/>
      <c r="F5" s="449"/>
      <c r="G5" s="447" t="s">
        <v>13</v>
      </c>
      <c r="H5" s="448"/>
      <c r="I5" s="449"/>
      <c r="J5" s="447" t="s">
        <v>12</v>
      </c>
      <c r="K5" s="449"/>
      <c r="L5" s="447" t="s">
        <v>13</v>
      </c>
      <c r="M5" s="449"/>
      <c r="N5" s="447" t="s">
        <v>12</v>
      </c>
      <c r="O5" s="448"/>
      <c r="P5" s="449"/>
      <c r="Q5" s="447" t="s">
        <v>13</v>
      </c>
      <c r="R5" s="448"/>
      <c r="S5" s="449"/>
      <c r="T5" s="447" t="s">
        <v>12</v>
      </c>
      <c r="U5" s="448"/>
      <c r="V5" s="449"/>
      <c r="W5" s="447" t="s">
        <v>13</v>
      </c>
      <c r="X5" s="448"/>
      <c r="Y5" s="449"/>
    </row>
    <row r="6" spans="1:25" ht="21">
      <c r="A6" s="455"/>
      <c r="B6" s="28" t="s">
        <v>186</v>
      </c>
      <c r="C6" s="28" t="s">
        <v>186</v>
      </c>
      <c r="D6" s="28" t="s">
        <v>518</v>
      </c>
      <c r="E6" s="28" t="s">
        <v>186</v>
      </c>
      <c r="F6" s="28" t="s">
        <v>187</v>
      </c>
      <c r="G6" s="28" t="s">
        <v>518</v>
      </c>
      <c r="H6" s="28" t="s">
        <v>186</v>
      </c>
      <c r="I6" s="28" t="s">
        <v>187</v>
      </c>
      <c r="J6" s="28" t="s">
        <v>186</v>
      </c>
      <c r="K6" s="28" t="s">
        <v>187</v>
      </c>
      <c r="L6" s="28" t="s">
        <v>186</v>
      </c>
      <c r="M6" s="28" t="s">
        <v>187</v>
      </c>
      <c r="N6" s="28" t="s">
        <v>518</v>
      </c>
      <c r="O6" s="28" t="s">
        <v>186</v>
      </c>
      <c r="P6" s="28" t="s">
        <v>187</v>
      </c>
      <c r="Q6" s="28" t="s">
        <v>518</v>
      </c>
      <c r="R6" s="28" t="s">
        <v>186</v>
      </c>
      <c r="S6" s="28" t="s">
        <v>187</v>
      </c>
      <c r="T6" s="28" t="s">
        <v>518</v>
      </c>
      <c r="U6" s="28" t="s">
        <v>186</v>
      </c>
      <c r="V6" s="28" t="s">
        <v>187</v>
      </c>
      <c r="W6" s="28" t="s">
        <v>518</v>
      </c>
      <c r="X6" s="28" t="s">
        <v>186</v>
      </c>
      <c r="Y6" s="28" t="s">
        <v>187</v>
      </c>
    </row>
    <row r="7" spans="1:25" ht="121.5">
      <c r="A7" s="86" t="s">
        <v>193</v>
      </c>
      <c r="B7" s="87" t="s">
        <v>188</v>
      </c>
      <c r="C7" s="112" t="s">
        <v>188</v>
      </c>
      <c r="D7" s="87">
        <f>SUM('ป.1(สกอ)'!M12)/1</f>
        <v>0</v>
      </c>
      <c r="E7" s="87">
        <f>SUM('ป.1(สกอ)'!M12)/1</f>
        <v>0</v>
      </c>
      <c r="F7" s="87" t="s">
        <v>188</v>
      </c>
      <c r="G7" s="242">
        <f>SUM('ป.1(สกอ)'!N12)/1</f>
        <v>0</v>
      </c>
      <c r="H7" s="112">
        <f>SUM('ป.1(สกอ)'!N12)/1</f>
        <v>0</v>
      </c>
      <c r="I7" s="104" t="s">
        <v>188</v>
      </c>
      <c r="J7" s="87" t="s">
        <v>188</v>
      </c>
      <c r="K7" s="87">
        <f>SUM('ป.1(สมศ)'!N11)/1</f>
        <v>0</v>
      </c>
      <c r="L7" s="112" t="s">
        <v>188</v>
      </c>
      <c r="M7" s="104">
        <f>SUM('ป.1(สมศ)'!O11)/1</f>
        <v>0</v>
      </c>
      <c r="N7" s="87">
        <f>SUM('ป.1(สกอ)'!M12)/1</f>
        <v>0</v>
      </c>
      <c r="O7" s="87">
        <f>SUM('ป.1(สกอ)'!M12)/1</f>
        <v>0</v>
      </c>
      <c r="P7" s="87">
        <f>SUM('ป.1(สมศ)'!N11)/1</f>
        <v>0</v>
      </c>
      <c r="Q7" s="242">
        <f>SUM('ป.1(สกอ)'!N12)/1</f>
        <v>0</v>
      </c>
      <c r="R7" s="112">
        <f>SUM('ป.1(สกอ)'!N12)/1</f>
        <v>0</v>
      </c>
      <c r="S7" s="104">
        <f>SUM('ป.1(สมศ)'!O11)/1</f>
        <v>0</v>
      </c>
      <c r="T7" s="88" t="str">
        <f aca="true" t="shared" si="0" ref="T7:Y8">IF(N7&gt;=4.51,"ดีมาก",IF(N7&gt;=3.51,"ดี",IF(N7&gt;=2.51,"พอใช้",IF(N7&gt;=1.51,"ต้องปรับปรุง",IF(N7&lt;=1.5,"ต้องปรับปรุงเร่งด่วน")))))</f>
        <v>ต้องปรับปรุงเร่งด่วน</v>
      </c>
      <c r="U7" s="88" t="str">
        <f t="shared" si="0"/>
        <v>ต้องปรับปรุงเร่งด่วน</v>
      </c>
      <c r="V7" s="88" t="str">
        <f t="shared" si="0"/>
        <v>ต้องปรับปรุงเร่งด่วน</v>
      </c>
      <c r="W7" s="244" t="str">
        <f t="shared" si="0"/>
        <v>ต้องปรับปรุงเร่งด่วน</v>
      </c>
      <c r="X7" s="113" t="str">
        <f t="shared" si="0"/>
        <v>ต้องปรับปรุงเร่งด่วน</v>
      </c>
      <c r="Y7" s="113" t="str">
        <f t="shared" si="0"/>
        <v>ต้องปรับปรุงเร่งด่วน</v>
      </c>
    </row>
    <row r="8" spans="1:25" ht="101.25">
      <c r="A8" s="86" t="s">
        <v>194</v>
      </c>
      <c r="B8" s="87">
        <f>SUM('ป.1(สกอ)'!M15,'ป.1(สกอ)'!M18,'ป.1(สกอ)'!M22)/3</f>
        <v>0</v>
      </c>
      <c r="C8" s="112">
        <f>SUM('ป.1(สกอ)'!N15,'ป.1(สกอ)'!N18,'ป.1(สกอ)'!N22)/3</f>
        <v>0</v>
      </c>
      <c r="D8" s="87">
        <f>SUM('ป.1(สกอ)'!M14,'ป.1(สกอ)'!M21,'ป.1(สกอ)'!M23,'ป.1(สกอ)'!M24)/4</f>
        <v>0</v>
      </c>
      <c r="E8" s="87">
        <f>SUM('ป.1(สกอ)'!M14,'ป.1(สกอ)'!M21,'ป.1(สกอ)'!M23,'ป.1(สกอ)'!M24)/4</f>
        <v>0</v>
      </c>
      <c r="F8" s="87" t="s">
        <v>188</v>
      </c>
      <c r="G8" s="242">
        <f>SUM('ป.1(สกอ)'!N14,'ป.1(สกอ)'!N21,'ป.1(สกอ)'!N23,'ป.1(สกอ)'!N24)/4</f>
        <v>0</v>
      </c>
      <c r="H8" s="112">
        <f>SUM('ป.1(สกอ)'!N14,'ป.1(สกอ)'!N21,'ป.1(สกอ)'!N23,'ป.1(สกอ)'!N24)/4</f>
        <v>0</v>
      </c>
      <c r="I8" s="104" t="s">
        <v>188</v>
      </c>
      <c r="J8" s="87">
        <f>SUM('ป.1(สกอ)'!M25)/1</f>
        <v>0</v>
      </c>
      <c r="K8" s="87">
        <f>SUM('ป.1(สมศ)'!N13:N14,'ป.1(สมศ)'!N17:N17,'ป.1(สมศ)'!N19:N20,'ป.1(สมศ)'!N32:N33,'ป.1(สมศ)'!N40:N41)/5</f>
        <v>0</v>
      </c>
      <c r="L8" s="112">
        <f>SUM('ป.1(สกอ)'!N25)/1</f>
        <v>0</v>
      </c>
      <c r="M8" s="104">
        <f>SUM('ป.1(สมศ)'!O13:O14,'ป.1(สมศ)'!O17:O17,'ป.1(สมศ)'!O19:O20,'ป.1(สมศ)'!O32:O33,'ป.1(สมศ)'!O40:O41)/5</f>
        <v>0</v>
      </c>
      <c r="N8" s="87">
        <f>SUM('ป.1(สกอ)'!M15,'ป.1(สกอ)'!M18,'ป.1(สกอ)'!M22,'ป.1(สกอ)'!M14,'ป.1(สกอ)'!M21,'ป.1(สกอ)'!M23,'ป.1(สกอ)'!M24,'ป.1(สกอ)'!M25)/8</f>
        <v>0</v>
      </c>
      <c r="O8" s="87">
        <f>SUM('ป.1(สกอ)'!M15,'ป.1(สกอ)'!M18,'ป.1(สกอ)'!M22,'ป.1(สกอ)'!M14,'ป.1(สกอ)'!M21,'ป.1(สกอ)'!M23,'ป.1(สกอ)'!M24,'ป.1(สกอ)'!M25)/8</f>
        <v>0</v>
      </c>
      <c r="P8" s="87">
        <f>SUM('ป.1(สมศ)'!N13:N14,'ป.1(สมศ)'!N17:N17,'ป.1(สมศ)'!N19:N20,'ป.1(สมศ)'!N32:N33,'ป.1(สมศ)'!N40:N41)/5</f>
        <v>0</v>
      </c>
      <c r="Q8" s="242">
        <f>SUM('ป.1(สกอ)'!N15,'ป.1(สกอ)'!N18,'ป.1(สกอ)'!N22,'ป.1(สกอ)'!N14,'ป.1(สกอ)'!N21,'ป.1(สกอ)'!N23,'ป.1(สกอ)'!N24,'ป.1(สกอ)'!N25)/8</f>
        <v>0</v>
      </c>
      <c r="R8" s="112">
        <f>SUM('ป.1(สกอ)'!N15,'ป.1(สกอ)'!N18,'ป.1(สกอ)'!N22,'ป.1(สกอ)'!N14,'ป.1(สกอ)'!N21,'ป.1(สกอ)'!N23,'ป.1(สกอ)'!N24,'ป.1(สกอ)'!N25)/8</f>
        <v>0</v>
      </c>
      <c r="S8" s="104">
        <f>SUM('ป.1(สมศ)'!O13:O14,'ป.1(สมศ)'!O17:O17,'ป.1(สมศ)'!O19:O20,'ป.1(สมศ)'!O32:O33,'ป.1(สมศ)'!O40:O41)/5</f>
        <v>0</v>
      </c>
      <c r="T8" s="88" t="str">
        <f t="shared" si="0"/>
        <v>ต้องปรับปรุงเร่งด่วน</v>
      </c>
      <c r="U8" s="88" t="str">
        <f t="shared" si="0"/>
        <v>ต้องปรับปรุงเร่งด่วน</v>
      </c>
      <c r="V8" s="88" t="str">
        <f t="shared" si="0"/>
        <v>ต้องปรับปรุงเร่งด่วน</v>
      </c>
      <c r="W8" s="244" t="str">
        <f t="shared" si="0"/>
        <v>ต้องปรับปรุงเร่งด่วน</v>
      </c>
      <c r="X8" s="113" t="str">
        <f t="shared" si="0"/>
        <v>ต้องปรับปรุงเร่งด่วน</v>
      </c>
      <c r="Y8" s="105" t="str">
        <f t="shared" si="0"/>
        <v>ต้องปรับปรุงเร่งด่วน</v>
      </c>
    </row>
    <row r="9" spans="1:25" ht="101.25">
      <c r="A9" s="89" t="s">
        <v>195</v>
      </c>
      <c r="B9" s="87" t="s">
        <v>188</v>
      </c>
      <c r="C9" s="112" t="s">
        <v>188</v>
      </c>
      <c r="D9" s="87">
        <f>SUM('ป.1(สกอ)'!M27,'ป.1(สกอ)'!M28,'ป.1(สกอ)'!M29)/3</f>
        <v>0</v>
      </c>
      <c r="E9" s="87">
        <f>SUM('ป.1(สกอ)'!M27,'ป.1(สกอ)'!M28)/2</f>
        <v>0</v>
      </c>
      <c r="F9" s="87" t="s">
        <v>188</v>
      </c>
      <c r="G9" s="242">
        <f>SUM('ป.1(สกอ)'!N27,'ป.1(สกอ)'!N28,'ป.1(สกอ)'!N29)/3</f>
        <v>0</v>
      </c>
      <c r="H9" s="112">
        <f>SUM('ป.1(สกอ)'!N27,'ป.1(สกอ)'!N28)/2</f>
        <v>0</v>
      </c>
      <c r="I9" s="104" t="s">
        <v>188</v>
      </c>
      <c r="J9" s="87" t="s">
        <v>188</v>
      </c>
      <c r="K9" s="87" t="s">
        <v>188</v>
      </c>
      <c r="L9" s="112" t="s">
        <v>188</v>
      </c>
      <c r="M9" s="104" t="s">
        <v>188</v>
      </c>
      <c r="N9" s="87">
        <f>SUM('ป.1(สกอ)'!M27,'ป.1(สกอ)'!M28,'ป.1(สกอ)'!M29)/3</f>
        <v>0</v>
      </c>
      <c r="O9" s="87">
        <f>SUM('ป.1(สกอ)'!M27,'ป.1(สกอ)'!M28)/2</f>
        <v>0</v>
      </c>
      <c r="P9" s="87" t="s">
        <v>188</v>
      </c>
      <c r="Q9" s="242">
        <f>SUM('ป.1(สกอ)'!N27,'ป.1(สกอ)'!N28,'ป.1(สกอ)'!M29)/3</f>
        <v>0</v>
      </c>
      <c r="R9" s="112">
        <f>SUM('ป.1(สกอ)'!N27,'ป.1(สกอ)'!N28)/2</f>
        <v>0</v>
      </c>
      <c r="S9" s="104" t="s">
        <v>188</v>
      </c>
      <c r="T9" s="88" t="str">
        <f aca="true" t="shared" si="1" ref="T9:W15">IF(N9&gt;=4.51,"ดีมาก",IF(N9&gt;=3.51,"ดี",IF(N9&gt;=2.51,"พอใช้",IF(N9&gt;=1.51,"ต้องปรับปรุง",IF(N9&lt;=1.5,"ต้องปรับปรุงเร่งด่วน")))))</f>
        <v>ต้องปรับปรุงเร่งด่วน</v>
      </c>
      <c r="U9" s="88" t="str">
        <f t="shared" si="1"/>
        <v>ต้องปรับปรุงเร่งด่วน</v>
      </c>
      <c r="V9" s="88" t="s">
        <v>188</v>
      </c>
      <c r="W9" s="244" t="str">
        <f t="shared" si="1"/>
        <v>ต้องปรับปรุงเร่งด่วน</v>
      </c>
      <c r="X9" s="113" t="str">
        <f aca="true" t="shared" si="2" ref="X9:X15">IF(R9&gt;=4.51,"ดีมาก",IF(R9&gt;=3.51,"ดี",IF(R9&gt;=2.51,"พอใช้",IF(R9&gt;=1.51,"ต้องปรับปรุง",IF(R9&lt;=1.5,"ต้องปรับปรุงเร่งด่วน")))))</f>
        <v>ต้องปรับปรุงเร่งด่วน</v>
      </c>
      <c r="Y9" s="105" t="s">
        <v>188</v>
      </c>
    </row>
    <row r="10" spans="1:25" ht="101.25">
      <c r="A10" s="86" t="s">
        <v>197</v>
      </c>
      <c r="B10" s="87">
        <f>SUM('ป.1(สกอ)'!M33)/1</f>
        <v>0</v>
      </c>
      <c r="C10" s="112">
        <f>SUM('ป.1(สกอ)'!N33)/1</f>
        <v>0</v>
      </c>
      <c r="D10" s="87">
        <f>SUM('ป.1(สกอ)'!M31,'ป.1(สกอ)'!M32)/2</f>
        <v>0</v>
      </c>
      <c r="E10" s="87">
        <f>SUM('ป.1(สกอ)'!M31,'ป.1(สกอ)'!M32)/2</f>
        <v>0</v>
      </c>
      <c r="F10" s="87" t="s">
        <v>188</v>
      </c>
      <c r="G10" s="242">
        <f>SUM('ป.1(สกอ)'!N31,'ป.1(สกอ)'!N32)/2</f>
        <v>0</v>
      </c>
      <c r="H10" s="112">
        <f>SUM('ป.1(สกอ)'!N31,'ป.1(สกอ)'!N32)/2</f>
        <v>0</v>
      </c>
      <c r="I10" s="104" t="s">
        <v>188</v>
      </c>
      <c r="J10" s="87" t="s">
        <v>188</v>
      </c>
      <c r="K10" s="87">
        <f>SUM('ป.1(สมศ)'!N43:N44,'ป.1(สมศ)'!N56:N57,'ป.1(สมศ)'!N58:N59)/3</f>
        <v>0</v>
      </c>
      <c r="L10" s="112" t="s">
        <v>188</v>
      </c>
      <c r="M10" s="104">
        <f>SUM('ป.1(สมศ)'!O43:O44,'ป.1(สมศ)'!O56:O57,'ป.1(สมศ)'!O58:O59)/3</f>
        <v>0</v>
      </c>
      <c r="N10" s="87">
        <f>SUM('ป.1(สกอ)'!M31,'ป.1(สกอ)'!M32,'ป.1(สกอ)'!M33)/3</f>
        <v>0</v>
      </c>
      <c r="O10" s="87">
        <f>SUM('ป.1(สกอ)'!M31,'ป.1(สกอ)'!M32,'ป.1(สกอ)'!M33)/3</f>
        <v>0</v>
      </c>
      <c r="P10" s="87">
        <f>SUM('ป.1(สมศ)'!N43:N44,'ป.1(สมศ)'!N56:N57,'ป.1(สมศ)'!N58:N59)/3</f>
        <v>0</v>
      </c>
      <c r="Q10" s="242">
        <f>SUM('ป.1(สกอ)'!N31,'ป.1(สกอ)'!N32,'ป.1(สกอ)'!N33)/3</f>
        <v>0</v>
      </c>
      <c r="R10" s="112">
        <f>SUM('ป.1(สกอ)'!N31,'ป.1(สกอ)'!N32,'ป.1(สกอ)'!N33)/3</f>
        <v>0</v>
      </c>
      <c r="S10" s="104">
        <f>SUM('ป.1(สมศ)'!O43:O44,'ป.1(สมศ)'!O56:O57,'ป.1(สมศ)'!O58:O59)/3</f>
        <v>0</v>
      </c>
      <c r="T10" s="88" t="str">
        <f t="shared" si="1"/>
        <v>ต้องปรับปรุงเร่งด่วน</v>
      </c>
      <c r="U10" s="88" t="str">
        <f t="shared" si="1"/>
        <v>ต้องปรับปรุงเร่งด่วน</v>
      </c>
      <c r="V10" s="88" t="str">
        <f>IF(P10&gt;=4.51,"ดีมาก",IF(P10&gt;=3.51,"ดี",IF(P10&gt;=2.51,"พอใช้",IF(P10&gt;=1.51,"ต้องปรับปรุง",IF(P10&lt;=1.5,"ต้องปรับปรุงเร่งด่วน")))))</f>
        <v>ต้องปรับปรุงเร่งด่วน</v>
      </c>
      <c r="W10" s="244" t="str">
        <f t="shared" si="1"/>
        <v>ต้องปรับปรุงเร่งด่วน</v>
      </c>
      <c r="X10" s="113" t="str">
        <f t="shared" si="2"/>
        <v>ต้องปรับปรุงเร่งด่วน</v>
      </c>
      <c r="Y10" s="105" t="str">
        <f>IF(S10&gt;=4.51,"ดีมาก",IF(S10&gt;=3.51,"ดี",IF(S10&gt;=2.51,"พอใช้",IF(S10&gt;=1.51,"ต้องปรับปรุง",IF(S10&lt;=1.5,"ต้องปรับปรุงเร่งด่วน")))))</f>
        <v>ต้องปรับปรุงเร่งด่วน</v>
      </c>
    </row>
    <row r="11" spans="1:25" ht="101.25">
      <c r="A11" s="86" t="s">
        <v>196</v>
      </c>
      <c r="B11" s="87" t="s">
        <v>188</v>
      </c>
      <c r="C11" s="112" t="s">
        <v>188</v>
      </c>
      <c r="D11" s="87">
        <f>SUM('ป.1(สกอ)'!M36,'ป.1(สกอ)'!M37)/2</f>
        <v>0</v>
      </c>
      <c r="E11" s="87">
        <f>SUM('ป.1(สกอ)'!M36,'ป.1(สกอ)'!M37)/2</f>
        <v>0</v>
      </c>
      <c r="F11" s="87" t="s">
        <v>188</v>
      </c>
      <c r="G11" s="242">
        <f>SUM('ป.1(สกอ)'!N36,'ป.1(สกอ)'!N37)/2</f>
        <v>0</v>
      </c>
      <c r="H11" s="112">
        <f>SUM('ป.1(สกอ)'!N36,'ป.1(สกอ)'!N37)/2</f>
        <v>0</v>
      </c>
      <c r="I11" s="104" t="s">
        <v>188</v>
      </c>
      <c r="J11" s="87" t="s">
        <v>188</v>
      </c>
      <c r="K11" s="87">
        <f>SUM('ป.1(สมศ)'!N65,'ป.1(สมศ)'!N71,'ป.1(สมศ)'!N72)/3</f>
        <v>0</v>
      </c>
      <c r="L11" s="112" t="s">
        <v>188</v>
      </c>
      <c r="M11" s="104">
        <f>SUM('ป.1(สมศ)'!O65,'ป.1(สมศ)'!O71,'ป.1(สมศ)'!O72)/3</f>
        <v>0</v>
      </c>
      <c r="N11" s="87">
        <f>SUM('ป.1(สกอ)'!M36,'ป.1(สกอ)'!M37)/2</f>
        <v>0</v>
      </c>
      <c r="O11" s="87">
        <f>SUM('ป.1(สกอ)'!M36,'ป.1(สกอ)'!M37)/2</f>
        <v>0</v>
      </c>
      <c r="P11" s="87">
        <f>SUM('ป.1(สมศ)'!N65,'ป.1(สมศ)'!N71,'ป.1(สมศ)'!N72)/3</f>
        <v>0</v>
      </c>
      <c r="Q11" s="242">
        <f>SUM('ป.1(สกอ)'!N36,'ป.1(สกอ)'!N37)/2</f>
        <v>0</v>
      </c>
      <c r="R11" s="112">
        <f>SUM('ป.1(สกอ)'!N36,'ป.1(สกอ)'!N37)/2</f>
        <v>0</v>
      </c>
      <c r="S11" s="104">
        <f>SUM('ป.1(สมศ)'!O65,'ป.1(สมศ)'!O71,'ป.1(สมศ)'!O72)/3</f>
        <v>0</v>
      </c>
      <c r="T11" s="88" t="str">
        <f t="shared" si="1"/>
        <v>ต้องปรับปรุงเร่งด่วน</v>
      </c>
      <c r="U11" s="88" t="str">
        <f t="shared" si="1"/>
        <v>ต้องปรับปรุงเร่งด่วน</v>
      </c>
      <c r="V11" s="88" t="str">
        <f>IF(P11&gt;=4.51,"ดีมาก",IF(P11&gt;=3.51,"ดี",IF(P11&gt;=2.51,"พอใช้",IF(P11&gt;=1.51,"ต้องปรับปรุง",IF(P11&lt;=1.5,"ต้องปรับปรุงเร่งด่วน")))))</f>
        <v>ต้องปรับปรุงเร่งด่วน</v>
      </c>
      <c r="W11" s="244" t="str">
        <f t="shared" si="1"/>
        <v>ต้องปรับปรุงเร่งด่วน</v>
      </c>
      <c r="X11" s="113" t="str">
        <f t="shared" si="2"/>
        <v>ต้องปรับปรุงเร่งด่วน</v>
      </c>
      <c r="Y11" s="105" t="str">
        <f>IF(S11&gt;=4.51,"ดีมาก",IF(S11&gt;=3.51,"ดี",IF(S11&gt;=2.51,"พอใช้",IF(S11&gt;=1.51,"ต้องปรับปรุง",IF(S11&lt;=1.5,"ต้องปรับปรุงเร่งด่วน")))))</f>
        <v>ต้องปรับปรุงเร่งด่วน</v>
      </c>
    </row>
    <row r="12" spans="1:25" ht="101.25">
      <c r="A12" s="86" t="s">
        <v>64</v>
      </c>
      <c r="B12" s="87" t="s">
        <v>188</v>
      </c>
      <c r="C12" s="112" t="s">
        <v>188</v>
      </c>
      <c r="D12" s="87">
        <f>SUM('ป.1(สกอ)'!M39)/1</f>
        <v>0</v>
      </c>
      <c r="E12" s="87">
        <f>SUM('ป.1(สกอ)'!M39)/1</f>
        <v>0</v>
      </c>
      <c r="F12" s="87">
        <f>SUM('ป.1(สมศ)'!N75)/1</f>
        <v>0</v>
      </c>
      <c r="G12" s="242">
        <f>SUM('ป.1(สกอ)'!N39)/1</f>
        <v>0</v>
      </c>
      <c r="H12" s="112">
        <f>SUM('ป.1(สกอ)'!N39)/1</f>
        <v>0</v>
      </c>
      <c r="I12" s="104">
        <f>SUM('ป.1(สมศ)'!O75)/1</f>
        <v>0</v>
      </c>
      <c r="J12" s="87" t="s">
        <v>188</v>
      </c>
      <c r="K12" s="87">
        <f>'ป.1(สมศ)'!N74/1</f>
        <v>0</v>
      </c>
      <c r="L12" s="112" t="s">
        <v>188</v>
      </c>
      <c r="M12" s="104">
        <f>SUM('ป.1(สมศ)'!O74)/1</f>
        <v>0</v>
      </c>
      <c r="N12" s="87">
        <f>SUM('ป.1(สกอ)'!M39)/1</f>
        <v>0</v>
      </c>
      <c r="O12" s="87">
        <f>SUM('ป.1(สกอ)'!M39)/1</f>
        <v>0</v>
      </c>
      <c r="P12" s="87">
        <f>SUM('ป.1(สมศ)'!N74,'ป.1(สมศ)'!N75)/2</f>
        <v>0</v>
      </c>
      <c r="Q12" s="242">
        <f>SUM('ป.1(สกอ)'!N39)/1</f>
        <v>0</v>
      </c>
      <c r="R12" s="112">
        <f>SUM('ป.1(สกอ)'!N39)/1</f>
        <v>0</v>
      </c>
      <c r="S12" s="104">
        <f>SUM('ป.1(สมศ)'!O74,'ป.1(สมศ)'!O75)/2</f>
        <v>0</v>
      </c>
      <c r="T12" s="88" t="str">
        <f t="shared" si="1"/>
        <v>ต้องปรับปรุงเร่งด่วน</v>
      </c>
      <c r="U12" s="88" t="str">
        <f t="shared" si="1"/>
        <v>ต้องปรับปรุงเร่งด่วน</v>
      </c>
      <c r="V12" s="88" t="str">
        <f>IF(P12&gt;=4.51,"ดีมาก",IF(P12&gt;=3.51,"ดี",IF(P12&gt;=2.51,"พอใช้",IF(P12&gt;=1.51,"ต้องปรับปรุง",IF(P12&lt;=1.5,"ต้องปรับปรุงเร่งด่วน")))))</f>
        <v>ต้องปรับปรุงเร่งด่วน</v>
      </c>
      <c r="W12" s="244" t="str">
        <f t="shared" si="1"/>
        <v>ต้องปรับปรุงเร่งด่วน</v>
      </c>
      <c r="X12" s="113" t="str">
        <f t="shared" si="2"/>
        <v>ต้องปรับปรุงเร่งด่วน</v>
      </c>
      <c r="Y12" s="105" t="str">
        <f>IF(S12&gt;=4.51,"ดีมาก",IF(S12&gt;=3.51,"ดี",IF(S12&gt;=2.51,"พอใช้",IF(S12&gt;=1.51,"ต้องปรับปรุง",IF(S12&lt;=1.5,"ต้องปรับปรุงเร่งด่วน")))))</f>
        <v>ต้องปรับปรุงเร่งด่วน</v>
      </c>
    </row>
    <row r="13" spans="1:25" ht="101.25">
      <c r="A13" s="86" t="s">
        <v>201</v>
      </c>
      <c r="B13" s="87" t="s">
        <v>188</v>
      </c>
      <c r="C13" s="112" t="s">
        <v>188</v>
      </c>
      <c r="D13" s="87">
        <f>SUM('ป.1(สกอ)'!M41,'ป.1(สกอ)'!M42,'ป.1(สกอ)'!M43,'ป.1(สกอ)'!M44)/4</f>
        <v>0</v>
      </c>
      <c r="E13" s="87">
        <f>SUM('ป.1(สกอ)'!M41,'ป.1(สกอ)'!M42,'ป.1(สกอ)'!M43,'ป.1(สกอ)'!M44)/4</f>
        <v>0</v>
      </c>
      <c r="F13" s="87" t="s">
        <v>188</v>
      </c>
      <c r="G13" s="242">
        <f>SUM('ป.1(สกอ)'!N41,'ป.1(สกอ)'!N42,'ป.1(สกอ)'!N43,'ป.1(สกอ)'!N44)/4</f>
        <v>0</v>
      </c>
      <c r="H13" s="112">
        <f>SUM('ป.1(สกอ)'!N41,'ป.1(สกอ)'!N42,'ป.1(สกอ)'!N43,'ป.1(สกอ)'!N44)/4</f>
        <v>0</v>
      </c>
      <c r="I13" s="104" t="s">
        <v>188</v>
      </c>
      <c r="J13" s="87" t="s">
        <v>188</v>
      </c>
      <c r="K13" s="87">
        <f>SUM('ป.1(สมศ)'!N77)/1</f>
        <v>0</v>
      </c>
      <c r="L13" s="112" t="s">
        <v>188</v>
      </c>
      <c r="M13" s="104">
        <f>SUM('ป.1(สมศ)'!O77)/1</f>
        <v>0</v>
      </c>
      <c r="N13" s="87">
        <f>SUM('ป.1(สกอ)'!M41,'ป.1(สกอ)'!M42,'ป.1(สกอ)'!M43,'ป.1(สกอ)'!M44)/4</f>
        <v>0</v>
      </c>
      <c r="O13" s="87">
        <f>SUM('ป.1(สกอ)'!M41,'ป.1(สกอ)'!M42,'ป.1(สกอ)'!M43,'ป.1(สกอ)'!M44)/4</f>
        <v>0</v>
      </c>
      <c r="P13" s="87">
        <f>SUM('ป.1(สมศ)'!N77)/1</f>
        <v>0</v>
      </c>
      <c r="Q13" s="242">
        <f>SUM('ป.1(สกอ)'!N41,'ป.1(สกอ)'!N42,'ป.1(สกอ)'!N43,'ป.1(สกอ)'!N44)/4</f>
        <v>0</v>
      </c>
      <c r="R13" s="112">
        <f>SUM('ป.1(สกอ)'!N41,'ป.1(สกอ)'!N42,'ป.1(สกอ)'!N43,'ป.1(สกอ)'!N44)/4</f>
        <v>0</v>
      </c>
      <c r="S13" s="104">
        <f>SUM('ป.1(สมศ)'!O77)/1</f>
        <v>0</v>
      </c>
      <c r="T13" s="88" t="str">
        <f t="shared" si="1"/>
        <v>ต้องปรับปรุงเร่งด่วน</v>
      </c>
      <c r="U13" s="88" t="str">
        <f t="shared" si="1"/>
        <v>ต้องปรับปรุงเร่งด่วน</v>
      </c>
      <c r="V13" s="88" t="s">
        <v>188</v>
      </c>
      <c r="W13" s="244" t="str">
        <f t="shared" si="1"/>
        <v>ต้องปรับปรุงเร่งด่วน</v>
      </c>
      <c r="X13" s="113" t="str">
        <f t="shared" si="2"/>
        <v>ต้องปรับปรุงเร่งด่วน</v>
      </c>
      <c r="Y13" s="105" t="s">
        <v>188</v>
      </c>
    </row>
    <row r="14" spans="1:25" ht="101.25">
      <c r="A14" s="86" t="s">
        <v>199</v>
      </c>
      <c r="B14" s="87" t="s">
        <v>188</v>
      </c>
      <c r="C14" s="112" t="s">
        <v>188</v>
      </c>
      <c r="D14" s="87">
        <f>SUM('ป.1(สกอ)'!M46)/1</f>
        <v>0</v>
      </c>
      <c r="E14" s="87">
        <f>SUM('ป.1(สกอ)'!M46)/1</f>
        <v>0</v>
      </c>
      <c r="F14" s="87" t="s">
        <v>188</v>
      </c>
      <c r="G14" s="242">
        <f>SUM('ป.1(สกอ)'!N46)/1</f>
        <v>0</v>
      </c>
      <c r="H14" s="112">
        <f>SUM('ป.1(สกอ)'!N46)/1</f>
        <v>0</v>
      </c>
      <c r="I14" s="104" t="s">
        <v>188</v>
      </c>
      <c r="J14" s="87" t="s">
        <v>188</v>
      </c>
      <c r="K14" s="87" t="s">
        <v>188</v>
      </c>
      <c r="L14" s="112" t="s">
        <v>188</v>
      </c>
      <c r="M14" s="104" t="s">
        <v>188</v>
      </c>
      <c r="N14" s="87">
        <f>SUM('ป.1(สกอ)'!M46)/1</f>
        <v>0</v>
      </c>
      <c r="O14" s="87">
        <f>SUM('ป.1(สกอ)'!M46)/1</f>
        <v>0</v>
      </c>
      <c r="P14" s="87" t="s">
        <v>188</v>
      </c>
      <c r="Q14" s="242">
        <f>SUM('ป.1(สกอ)'!N46)/1</f>
        <v>0</v>
      </c>
      <c r="R14" s="112">
        <f>SUM('ป.1(สกอ)'!N46)/1</f>
        <v>0</v>
      </c>
      <c r="S14" s="104" t="s">
        <v>188</v>
      </c>
      <c r="T14" s="88" t="str">
        <f t="shared" si="1"/>
        <v>ต้องปรับปรุงเร่งด่วน</v>
      </c>
      <c r="U14" s="88" t="str">
        <f t="shared" si="1"/>
        <v>ต้องปรับปรุงเร่งด่วน</v>
      </c>
      <c r="V14" s="88" t="s">
        <v>188</v>
      </c>
      <c r="W14" s="244" t="str">
        <f t="shared" si="1"/>
        <v>ต้องปรับปรุงเร่งด่วน</v>
      </c>
      <c r="X14" s="113" t="str">
        <f t="shared" si="2"/>
        <v>ต้องปรับปรุงเร่งด่วน</v>
      </c>
      <c r="Y14" s="105" t="s">
        <v>188</v>
      </c>
    </row>
    <row r="15" spans="1:25" ht="101.25">
      <c r="A15" s="86" t="s">
        <v>200</v>
      </c>
      <c r="B15" s="87" t="s">
        <v>188</v>
      </c>
      <c r="C15" s="112" t="s">
        <v>188</v>
      </c>
      <c r="D15" s="87">
        <f>SUM('ป.1(สกอ)'!M48)/1</f>
        <v>0</v>
      </c>
      <c r="E15" s="87">
        <f>SUM('ป.1(สกอ)'!M48)/1</f>
        <v>0</v>
      </c>
      <c r="F15" s="87" t="s">
        <v>188</v>
      </c>
      <c r="G15" s="242">
        <f>SUM('ป.1(สกอ)'!N48)/1</f>
        <v>0</v>
      </c>
      <c r="H15" s="112">
        <f>SUM('ป.1(สกอ)'!N48)/1</f>
        <v>0</v>
      </c>
      <c r="I15" s="104" t="s">
        <v>188</v>
      </c>
      <c r="J15" s="87" t="s">
        <v>188</v>
      </c>
      <c r="K15" s="87">
        <f>SUM('ป.1(สมศ)'!N79)/1</f>
        <v>0</v>
      </c>
      <c r="L15" s="112" t="s">
        <v>188</v>
      </c>
      <c r="M15" s="104">
        <f>SUM('ป.1(สมศ)'!O79)/1</f>
        <v>0</v>
      </c>
      <c r="N15" s="87">
        <f>SUM('ป.1(สกอ)'!M48)/1</f>
        <v>0</v>
      </c>
      <c r="O15" s="87">
        <f>SUM('ป.1(สกอ)'!M48)/1</f>
        <v>0</v>
      </c>
      <c r="P15" s="87">
        <f>SUM('ป.1(สมศ)'!N79)/1</f>
        <v>0</v>
      </c>
      <c r="Q15" s="242">
        <f>SUM('ป.1(สกอ)'!N48)/1</f>
        <v>0</v>
      </c>
      <c r="R15" s="112">
        <f>SUM('ป.1(สกอ)'!N48)/1</f>
        <v>0</v>
      </c>
      <c r="S15" s="104">
        <f>SUM('ป.1(สมศ)'!O79)/1</f>
        <v>0</v>
      </c>
      <c r="T15" s="88" t="str">
        <f t="shared" si="1"/>
        <v>ต้องปรับปรุงเร่งด่วน</v>
      </c>
      <c r="U15" s="88" t="str">
        <f t="shared" si="1"/>
        <v>ต้องปรับปรุงเร่งด่วน</v>
      </c>
      <c r="V15" s="88" t="s">
        <v>188</v>
      </c>
      <c r="W15" s="244" t="str">
        <f t="shared" si="1"/>
        <v>ต้องปรับปรุงเร่งด่วน</v>
      </c>
      <c r="X15" s="113" t="str">
        <f t="shared" si="2"/>
        <v>ต้องปรับปรุงเร่งด่วน</v>
      </c>
      <c r="Y15" s="105" t="s">
        <v>188</v>
      </c>
    </row>
    <row r="16" spans="1:25" ht="20.25">
      <c r="A16" s="116" t="s">
        <v>198</v>
      </c>
      <c r="B16" s="117">
        <f>SUM('ป.1(สกอ)'!M15,'ป.1(สกอ)'!M18,'ป.1(สกอ)'!M22,'ป.1(สกอ)'!M33)/4</f>
        <v>0</v>
      </c>
      <c r="C16" s="114">
        <f>SUM('ป.1(สกอ)'!N15,'ป.1(สกอ)'!N18,'ป.1(สกอ)'!N22,'ป.1(สกอ)'!N33)/4</f>
        <v>0</v>
      </c>
      <c r="D16" s="117">
        <f>SUM('ป.1(สกอ)'!M12,'ป.1(สกอ)'!M14,'ป.1(สกอ)'!M21,'ป.1(สกอ)'!M23,'ป.1(สกอ)'!M24,'ป.1(สกอ)'!M27,'ป.1(สกอ)'!M28,'ป.1(สกอ)'!M29,'ป.1(สกอ)'!M31,'ป.1(สกอ)'!M32,'ป.1(สกอ)'!M36,'ป.1(สกอ)'!M37,'ป.1(สกอ)'!M39,'ป.1(สกอ)'!M41,'ป.1(สกอ)'!M42,'ป.1(สกอ)'!M43,'ป.1(สกอ)'!M44,'ป.1(สกอ)'!M46,'ป.1(สกอ)'!M48)/19</f>
        <v>0</v>
      </c>
      <c r="E16" s="117">
        <f>SUM('ป.1(สกอ)'!M12,'ป.1(สกอ)'!M14,'ป.1(สกอ)'!M21,'ป.1(สกอ)'!M23,'ป.1(สกอ)'!M24,'ป.1(สกอ)'!M27,'ป.1(สกอ)'!M28,'ป.1(สกอ)'!M31,'ป.1(สกอ)'!M32,'ป.1(สกอ)'!M36,'ป.1(สกอ)'!M37,'ป.1(สกอ)'!M39,'ป.1(สกอ)'!M41,'ป.1(สกอ)'!M42,'ป.1(สกอ)'!M43,'ป.1(สกอ)'!M44,'ป.1(สกอ)'!M46,'ป.1(สกอ)'!M48)/18</f>
        <v>0</v>
      </c>
      <c r="F16" s="117">
        <f>SUM('ป.1(สมศ)'!N75)/1</f>
        <v>0</v>
      </c>
      <c r="G16" s="243">
        <f>SUM('ป.1(สกอ)'!N12,'ป.1(สกอ)'!N14,'ป.1(สกอ)'!N21,'ป.1(สกอ)'!N23,'ป.1(สกอ)'!N24,'ป.1(สกอ)'!N27,'ป.1(สกอ)'!N28,'ป.1(สกอ)'!N29,'ป.1(สกอ)'!N31,'ป.1(สกอ)'!N32,'ป.1(สกอ)'!N36,'ป.1(สกอ)'!N37,'ป.1(สกอ)'!N39,'ป.1(สกอ)'!N41,'ป.1(สกอ)'!N42,'ป.1(สกอ)'!N43,'ป.1(สกอ)'!N44,'ป.1(สกอ)'!N46,'ป.1(สกอ)'!N48)/19</f>
        <v>0</v>
      </c>
      <c r="H16" s="114">
        <f>SUM('ป.1(สกอ)'!N12,'ป.1(สกอ)'!N14,'ป.1(สกอ)'!N21,'ป.1(สกอ)'!N23,'ป.1(สกอ)'!N24,'ป.1(สกอ)'!N27,'ป.1(สกอ)'!N28,'ป.1(สกอ)'!N31,'ป.1(สกอ)'!N32,'ป.1(สกอ)'!N36,'ป.1(สกอ)'!N37,'ป.1(สกอ)'!N39,'ป.1(สกอ)'!N41,'ป.1(สกอ)'!N42,'ป.1(สกอ)'!N43,'ป.1(สกอ)'!N44,'ป.1(สกอ)'!N46,'ป.1(สกอ)'!N48)/18</f>
        <v>0</v>
      </c>
      <c r="I16" s="115">
        <f>SUM('ป.1(สมศ)'!O75)/1</f>
        <v>0</v>
      </c>
      <c r="J16" s="117">
        <f>SUM('ป.1(สกอ)'!M25)/1</f>
        <v>0</v>
      </c>
      <c r="K16" s="117">
        <f>SUM('ป.1(สมศ)'!N11,'ป.1(สมศ)'!N13:N14,'ป.1(สมศ)'!N17:N17,'ป.1(สมศ)'!N19:N20,'ป.1(สมศ)'!N32:N33,'ป.1(สมศ)'!N40:N41,'ป.1(สมศ)'!N43:N44,'ป.1(สมศ)'!N56:N57,'ป.1(สมศ)'!N58:N59,'ป.1(สมศ)'!N65,'ป.1(สมศ)'!N71,'ป.1(สมศ)'!N72,'ป.1(สมศ)'!N74,'ป.1(สมศ)'!N77,'ป.1(สมศ)'!N79)/15</f>
        <v>0</v>
      </c>
      <c r="L16" s="114">
        <f>SUM('ป.1(สกอ)'!N25)/1</f>
        <v>0</v>
      </c>
      <c r="M16" s="115">
        <f>SUM('ป.1(สมศ)'!O11,'ป.1(สมศ)'!O13:O14,'ป.1(สมศ)'!O17:O17,'ป.1(สมศ)'!O19:O20,'ป.1(สมศ)'!O32:O33,'ป.1(สมศ)'!O40:O41,'ป.1(สมศ)'!O43:O44,'ป.1(สมศ)'!O56:O57,'ป.1(สมศ)'!O58:O59,'ป.1(สมศ)'!O65,'ป.1(สมศ)'!O71,'ป.1(สมศ)'!O72,'ป.1(สมศ)'!O74,'ป.1(สมศ)'!O77,'ป.1(สมศ)'!O79)/15</f>
        <v>0</v>
      </c>
      <c r="N16" s="117">
        <f>SUM('ป.1(สกอ)'!M12,'ป.1(สกอ)'!M15,'ป.1(สกอ)'!M18,'ป.1(สกอ)'!M22,'ป.1(สกอ)'!M14,'ป.1(สกอ)'!M21,'ป.1(สกอ)'!M23,'ป.1(สกอ)'!M24,'ป.1(สกอ)'!M25,'ป.1(สกอ)'!M27,'ป.1(สกอ)'!M28,'ป.1(สกอ)'!M29,'ป.1(สกอ)'!M31,'ป.1(สกอ)'!M32,'ป.1(สกอ)'!M33,'ป.1(สกอ)'!M36,'ป.1(สกอ)'!M37,'ป.1(สกอ)'!M39,'ป.1(สกอ)'!M41,'ป.1(สกอ)'!M42,'ป.1(สกอ)'!M43,'ป.1(สกอ)'!M44,'ป.1(สกอ)'!M46,'ป.1(สกอ)'!M48)/24</f>
        <v>0</v>
      </c>
      <c r="O16" s="117">
        <f>SUM('ป.1(สกอ)'!M15,'ป.1(สกอ)'!M18,'ป.1(สกอ)'!M22,'ป.1(สกอ)'!M33,'ป.1(สกอ)'!M12,'ป.1(สกอ)'!M14,'ป.1(สกอ)'!M21,'ป.1(สกอ)'!M23,'ป.1(สกอ)'!M24,'ป.1(สกอ)'!M25,'ป.1(สกอ)'!M27,'ป.1(สกอ)'!M28,'ป.1(สกอ)'!M31,'ป.1(สกอ)'!M32,'ป.1(สกอ)'!M36,'ป.1(สกอ)'!M37,'ป.1(สกอ)'!M39,'ป.1(สกอ)'!M41,'ป.1(สกอ)'!M42,'ป.1(สกอ)'!M43,'ป.1(สกอ)'!M44,'ป.1(สกอ)'!M46,'ป.1(สกอ)'!M48)/23</f>
        <v>0</v>
      </c>
      <c r="P16" s="117">
        <f>SUM('ป.1(สมศ)'!N11,'ป.1(สมศ)'!N13:N14,'ป.1(สมศ)'!N17:N17,'ป.1(สมศ)'!N19:N20,'ป.1(สมศ)'!N32:N33,'ป.1(สมศ)'!N40:N41,'ป.1(สมศ)'!N43:N44,'ป.1(สมศ)'!N56:N57,'ป.1(สมศ)'!N58:N59,'ป.1(สมศ)'!N65,'ป.1(สมศ)'!N71,'ป.1(สมศ)'!N72,'ป.1(สมศ)'!N74,'ป.1(สมศ)'!N75,'ป.1(สมศ)'!N77,'ป.1(สมศ)'!N79)/16</f>
        <v>0</v>
      </c>
      <c r="Q16" s="243">
        <f>SUM('ป.1(สกอ)'!N15,'ป.1(สกอ)'!N18,'ป.1(สกอ)'!N22,'ป.1(สกอ)'!N33,'ป.1(สกอ)'!N12,'ป.1(สกอ)'!N14,'ป.1(สกอ)'!N21,'ป.1(สกอ)'!N23,'ป.1(สกอ)'!N24,'ป.1(สกอ)'!N25,'ป.1(สกอ)'!N27,'ป.1(สกอ)'!N28,'ป.1(สกอ)'!N29,'ป.1(สกอ)'!N31,'ป.1(สกอ)'!N32,'ป.1(สกอ)'!N36,'ป.1(สกอ)'!N37,'ป.1(สกอ)'!N39,'ป.1(สกอ)'!N41,'ป.1(สกอ)'!N42,'ป.1(สกอ)'!N43,'ป.1(สกอ)'!N44,'ป.1(สกอ)'!N46,'ป.1(สกอ)'!N48)/24</f>
        <v>0</v>
      </c>
      <c r="R16" s="114">
        <f>SUM('ป.1(สกอ)'!N15,'ป.1(สกอ)'!N18,'ป.1(สกอ)'!N22,'ป.1(สกอ)'!N33,'ป.1(สกอ)'!N12,'ป.1(สกอ)'!N14,'ป.1(สกอ)'!N21,'ป.1(สกอ)'!N23,'ป.1(สกอ)'!N24,'ป.1(สกอ)'!N25,'ป.1(สกอ)'!N27,'ป.1(สกอ)'!N28,'ป.1(สกอ)'!N31,'ป.1(สกอ)'!N32,'ป.1(สกอ)'!N36,'ป.1(สกอ)'!N37,'ป.1(สกอ)'!N39,'ป.1(สกอ)'!N41,'ป.1(สกอ)'!N42,'ป.1(สกอ)'!N43,'ป.1(สกอ)'!N44,'ป.1(สกอ)'!N46,'ป.1(สกอ)'!N48)/23</f>
        <v>0</v>
      </c>
      <c r="S16" s="115">
        <f>SUM('ป.1(สมศ)'!O11,'ป.1(สมศ)'!O13:O14,'ป.1(สมศ)'!O17:O17,'ป.1(สมศ)'!O19:O20,'ป.1(สมศ)'!O32:O33,'ป.1(สมศ)'!O40:O41,'ป.1(สมศ)'!O43:O44,'ป.1(สมศ)'!O56:O57,'ป.1(สมศ)'!O58:O59,'ป.1(สมศ)'!O65,'ป.1(สมศ)'!O71,'ป.1(สมศ)'!O72,'ป.1(สมศ)'!O74,'ป.1(สมศ)'!O75,'ป.1(สมศ)'!O77,'ป.1(สมศ)'!O79)/16</f>
        <v>0</v>
      </c>
      <c r="T16" s="240"/>
      <c r="U16" s="90"/>
      <c r="V16" s="90"/>
      <c r="W16" s="90"/>
      <c r="X16" s="90"/>
      <c r="Y16" s="90"/>
    </row>
    <row r="17" spans="1:25" ht="97.5">
      <c r="A17" s="91" t="s">
        <v>141</v>
      </c>
      <c r="B17" s="290" t="str">
        <f>IF(B16&gt;=4.51,"ดีมาก",IF(B16&gt;=3.51,"ดี",IF(B16&gt;=2.51,"พอใช้",IF(B16&gt;=1.51,"ต้องปรับปรุง",IF(B16&lt;=1.5,"ต้องปรับปรุงเร่งด่วน")))))</f>
        <v>ต้องปรับปรุงเร่งด่วน</v>
      </c>
      <c r="C17" s="290" t="str">
        <f aca="true" t="shared" si="3" ref="C17:S17">IF(C16&gt;=4.51,"ดีมาก",IF(C16&gt;=3.51,"ดี",IF(C16&gt;=2.51,"พอใช้",IF(C16&gt;=1.51,"ต้องปรับปรุง",IF(C16&lt;=1.5,"ต้องปรับปรุงเร่งด่วน")))))</f>
        <v>ต้องปรับปรุงเร่งด่วน</v>
      </c>
      <c r="D17" s="290" t="str">
        <f>IF(D16&gt;=4.51,"ดีมาก",IF(D16&gt;=3.51,"ดี",IF(D16&gt;=2.51,"พอใช้",IF(D16&gt;=1.51,"ต้องปรับปรุง",IF(D16&lt;=1.5,"ต้องปรับปรุงเร่งด่วน")))))</f>
        <v>ต้องปรับปรุงเร่งด่วน</v>
      </c>
      <c r="E17" s="290" t="str">
        <f t="shared" si="3"/>
        <v>ต้องปรับปรุงเร่งด่วน</v>
      </c>
      <c r="F17" s="290" t="str">
        <f t="shared" si="3"/>
        <v>ต้องปรับปรุงเร่งด่วน</v>
      </c>
      <c r="G17" s="290" t="str">
        <f t="shared" si="3"/>
        <v>ต้องปรับปรุงเร่งด่วน</v>
      </c>
      <c r="H17" s="290" t="str">
        <f t="shared" si="3"/>
        <v>ต้องปรับปรุงเร่งด่วน</v>
      </c>
      <c r="I17" s="290" t="str">
        <f t="shared" si="3"/>
        <v>ต้องปรับปรุงเร่งด่วน</v>
      </c>
      <c r="J17" s="290" t="str">
        <f t="shared" si="3"/>
        <v>ต้องปรับปรุงเร่งด่วน</v>
      </c>
      <c r="K17" s="290" t="str">
        <f t="shared" si="3"/>
        <v>ต้องปรับปรุงเร่งด่วน</v>
      </c>
      <c r="L17" s="290" t="str">
        <f t="shared" si="3"/>
        <v>ต้องปรับปรุงเร่งด่วน</v>
      </c>
      <c r="M17" s="290" t="str">
        <f t="shared" si="3"/>
        <v>ต้องปรับปรุงเร่งด่วน</v>
      </c>
      <c r="N17" s="290" t="str">
        <f t="shared" si="3"/>
        <v>ต้องปรับปรุงเร่งด่วน</v>
      </c>
      <c r="O17" s="290" t="str">
        <f t="shared" si="3"/>
        <v>ต้องปรับปรุงเร่งด่วน</v>
      </c>
      <c r="P17" s="290" t="str">
        <f t="shared" si="3"/>
        <v>ต้องปรับปรุงเร่งด่วน</v>
      </c>
      <c r="Q17" s="290" t="str">
        <f t="shared" si="3"/>
        <v>ต้องปรับปรุงเร่งด่วน</v>
      </c>
      <c r="R17" s="290" t="str">
        <f t="shared" si="3"/>
        <v>ต้องปรับปรุงเร่งด่วน</v>
      </c>
      <c r="S17" s="290" t="str">
        <f t="shared" si="3"/>
        <v>ต้องปรับปรุงเร่งด่วน</v>
      </c>
      <c r="T17" s="241"/>
      <c r="U17" s="92"/>
      <c r="V17" s="92"/>
      <c r="W17" s="92"/>
      <c r="X17" s="92"/>
      <c r="Y17" s="92"/>
    </row>
  </sheetData>
  <sheetProtection/>
  <mergeCells count="17">
    <mergeCell ref="A3:A6"/>
    <mergeCell ref="J5:K5"/>
    <mergeCell ref="L5:M5"/>
    <mergeCell ref="A1:Y1"/>
    <mergeCell ref="A2:Y2"/>
    <mergeCell ref="B3:S3"/>
    <mergeCell ref="J4:M4"/>
    <mergeCell ref="N4:S4"/>
    <mergeCell ref="N5:P5"/>
    <mergeCell ref="T3:Y4"/>
    <mergeCell ref="T5:V5"/>
    <mergeCell ref="W5:Y5"/>
    <mergeCell ref="B4:C4"/>
    <mergeCell ref="D5:F5"/>
    <mergeCell ref="G5:I5"/>
    <mergeCell ref="D4:I4"/>
    <mergeCell ref="Q5:S5"/>
  </mergeCells>
  <printOptions/>
  <pageMargins left="0.2362204724409449" right="0.2755905511811024" top="0.35433070866141736" bottom="0.31496062992125984" header="0.1968503937007874" footer="0.1574803149606299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zoomScale="66" zoomScaleNormal="66" zoomScalePageLayoutView="0" workbookViewId="0" topLeftCell="A1">
      <selection activeCell="K8" sqref="K8"/>
    </sheetView>
  </sheetViews>
  <sheetFormatPr defaultColWidth="9.140625" defaultRowHeight="12.75"/>
  <cols>
    <col min="1" max="1" width="24.57421875" style="27" customWidth="1"/>
    <col min="2" max="2" width="8.8515625" style="37" customWidth="1"/>
    <col min="3" max="3" width="8.421875" style="37" customWidth="1"/>
    <col min="4" max="4" width="9.421875" style="37" customWidth="1"/>
    <col min="5" max="5" width="9.140625" style="37" bestFit="1" customWidth="1"/>
    <col min="6" max="6" width="8.57421875" style="37" customWidth="1"/>
    <col min="7" max="7" width="9.8515625" style="37" customWidth="1"/>
    <col min="8" max="8" width="8.140625" style="37" customWidth="1"/>
    <col min="9" max="9" width="8.421875" style="37" customWidth="1"/>
    <col min="10" max="10" width="8.140625" style="37" customWidth="1"/>
    <col min="11" max="11" width="8.57421875" style="37" customWidth="1"/>
    <col min="12" max="12" width="7.57421875" style="37" customWidth="1"/>
    <col min="13" max="13" width="8.7109375" style="37" customWidth="1"/>
    <col min="14" max="14" width="9.57421875" style="37" bestFit="1" customWidth="1"/>
    <col min="15" max="15" width="8.00390625" style="37" customWidth="1"/>
    <col min="16" max="16" width="8.421875" style="37" customWidth="1"/>
    <col min="17" max="17" width="9.421875" style="37" customWidth="1"/>
    <col min="18" max="18" width="7.8515625" style="37" customWidth="1"/>
    <col min="19" max="19" width="8.140625" style="37" customWidth="1"/>
    <col min="20" max="20" width="9.421875" style="37" customWidth="1"/>
    <col min="21" max="21" width="8.28125" style="37" customWidth="1"/>
    <col min="22" max="22" width="8.140625" style="37" customWidth="1"/>
    <col min="23" max="23" width="9.28125" style="37" customWidth="1"/>
    <col min="24" max="24" width="8.421875" style="37" customWidth="1"/>
    <col min="25" max="25" width="8.7109375" style="37" bestFit="1" customWidth="1"/>
    <col min="26" max="16384" width="9.140625" style="27" customWidth="1"/>
  </cols>
  <sheetData>
    <row r="1" spans="1:25" ht="26.25">
      <c r="A1" s="464" t="s">
        <v>34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5" ht="26.25">
      <c r="A2" s="465" t="s">
        <v>33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3" spans="1:25" ht="23.25">
      <c r="A3" s="453" t="s">
        <v>35</v>
      </c>
      <c r="B3" s="450" t="s">
        <v>517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1"/>
      <c r="T3" s="458" t="s">
        <v>141</v>
      </c>
      <c r="U3" s="459"/>
      <c r="V3" s="459"/>
      <c r="W3" s="459"/>
      <c r="X3" s="459"/>
      <c r="Y3" s="460"/>
    </row>
    <row r="4" spans="1:25" ht="23.25">
      <c r="A4" s="454"/>
      <c r="B4" s="450" t="s">
        <v>29</v>
      </c>
      <c r="C4" s="451"/>
      <c r="D4" s="450" t="s">
        <v>30</v>
      </c>
      <c r="E4" s="452"/>
      <c r="F4" s="452"/>
      <c r="G4" s="452"/>
      <c r="H4" s="452"/>
      <c r="I4" s="451"/>
      <c r="J4" s="450" t="s">
        <v>31</v>
      </c>
      <c r="K4" s="452"/>
      <c r="L4" s="452"/>
      <c r="M4" s="451"/>
      <c r="N4" s="450" t="s">
        <v>32</v>
      </c>
      <c r="O4" s="452"/>
      <c r="P4" s="452"/>
      <c r="Q4" s="452"/>
      <c r="R4" s="452"/>
      <c r="S4" s="451"/>
      <c r="T4" s="461"/>
      <c r="U4" s="462"/>
      <c r="V4" s="462"/>
      <c r="W4" s="462"/>
      <c r="X4" s="462"/>
      <c r="Y4" s="463"/>
    </row>
    <row r="5" spans="1:25" ht="42">
      <c r="A5" s="454"/>
      <c r="B5" s="28" t="s">
        <v>12</v>
      </c>
      <c r="C5" s="28" t="s">
        <v>13</v>
      </c>
      <c r="D5" s="447" t="s">
        <v>12</v>
      </c>
      <c r="E5" s="448"/>
      <c r="F5" s="449"/>
      <c r="G5" s="447" t="s">
        <v>13</v>
      </c>
      <c r="H5" s="448"/>
      <c r="I5" s="449"/>
      <c r="J5" s="447" t="s">
        <v>12</v>
      </c>
      <c r="K5" s="449"/>
      <c r="L5" s="447" t="s">
        <v>13</v>
      </c>
      <c r="M5" s="449"/>
      <c r="N5" s="447" t="s">
        <v>12</v>
      </c>
      <c r="O5" s="448"/>
      <c r="P5" s="449"/>
      <c r="Q5" s="447" t="s">
        <v>13</v>
      </c>
      <c r="R5" s="448"/>
      <c r="S5" s="449"/>
      <c r="T5" s="447" t="s">
        <v>12</v>
      </c>
      <c r="U5" s="448"/>
      <c r="V5" s="449"/>
      <c r="W5" s="447" t="s">
        <v>13</v>
      </c>
      <c r="X5" s="448"/>
      <c r="Y5" s="449"/>
    </row>
    <row r="6" spans="1:25" ht="22.5">
      <c r="A6" s="455"/>
      <c r="B6" s="28" t="s">
        <v>186</v>
      </c>
      <c r="C6" s="28" t="s">
        <v>186</v>
      </c>
      <c r="D6" s="28" t="s">
        <v>518</v>
      </c>
      <c r="E6" s="28" t="s">
        <v>186</v>
      </c>
      <c r="F6" s="28" t="s">
        <v>187</v>
      </c>
      <c r="G6" s="28" t="s">
        <v>518</v>
      </c>
      <c r="H6" s="28" t="s">
        <v>186</v>
      </c>
      <c r="I6" s="28" t="s">
        <v>187</v>
      </c>
      <c r="J6" s="28" t="s">
        <v>186</v>
      </c>
      <c r="K6" s="28" t="s">
        <v>187</v>
      </c>
      <c r="L6" s="28" t="s">
        <v>186</v>
      </c>
      <c r="M6" s="28" t="s">
        <v>187</v>
      </c>
      <c r="N6" s="28" t="s">
        <v>518</v>
      </c>
      <c r="O6" s="28" t="s">
        <v>186</v>
      </c>
      <c r="P6" s="28" t="s">
        <v>187</v>
      </c>
      <c r="Q6" s="28" t="s">
        <v>518</v>
      </c>
      <c r="R6" s="28" t="s">
        <v>186</v>
      </c>
      <c r="S6" s="28" t="s">
        <v>187</v>
      </c>
      <c r="T6" s="28" t="s">
        <v>518</v>
      </c>
      <c r="U6" s="28" t="s">
        <v>186</v>
      </c>
      <c r="V6" s="28" t="s">
        <v>187</v>
      </c>
      <c r="W6" s="28" t="s">
        <v>518</v>
      </c>
      <c r="X6" s="28" t="s">
        <v>186</v>
      </c>
      <c r="Y6" s="28" t="s">
        <v>187</v>
      </c>
    </row>
    <row r="7" spans="1:25" ht="65.25">
      <c r="A7" s="106" t="s">
        <v>189</v>
      </c>
      <c r="B7" s="100" t="s">
        <v>188</v>
      </c>
      <c r="C7" s="111" t="s">
        <v>188</v>
      </c>
      <c r="D7" s="100" t="s">
        <v>188</v>
      </c>
      <c r="E7" s="100" t="s">
        <v>188</v>
      </c>
      <c r="F7" s="100" t="s">
        <v>188</v>
      </c>
      <c r="G7" s="111" t="s">
        <v>188</v>
      </c>
      <c r="H7" s="111" t="s">
        <v>188</v>
      </c>
      <c r="I7" s="103" t="s">
        <v>188</v>
      </c>
      <c r="J7" s="100">
        <f>('ป.1(สกอ)'!M25)/1</f>
        <v>0</v>
      </c>
      <c r="K7" s="100">
        <f>SUM('ป.1(สมศ)'!N13:N14,'ป.1(สมศ)'!N17:N17,'ป.1(สมศ)'!N19:N20,'ป.1(สมศ)'!N32:N33)/4</f>
        <v>0</v>
      </c>
      <c r="L7" s="111">
        <f>('ป.1(สกอ)'!N25)/1</f>
        <v>0</v>
      </c>
      <c r="M7" s="103">
        <f>SUM('ป.1(สมศ)'!O13:O14,'ป.1(สมศ)'!O17:O17,'ป.1(สมศ)'!O19:O20,'ป.1(สมศ)'!O32:O33)/4</f>
        <v>0</v>
      </c>
      <c r="N7" s="101">
        <f>('ป.1(สกอ)'!M25)/1</f>
        <v>0</v>
      </c>
      <c r="O7" s="101">
        <f>('ป.1(สกอ)'!M25)/1</f>
        <v>0</v>
      </c>
      <c r="P7" s="101">
        <f>SUM('ป.1(สมศ)'!N13:N14,'ป.1(สมศ)'!N17:N17,'ป.1(สมศ)'!N19:N20,'ป.1(สมศ)'!N32:N33)/4</f>
        <v>0</v>
      </c>
      <c r="Q7" s="248">
        <f>('ป.1(สกอ)'!N25)/1</f>
        <v>0</v>
      </c>
      <c r="R7" s="110">
        <f>('ป.1(สกอ)'!N25)/1</f>
        <v>0</v>
      </c>
      <c r="S7" s="97">
        <f>SUM('ป.1(สมศ)'!O13:O14,'ป.1(สมศ)'!O17:O17,'ป.1(สมศ)'!O19:O20,'ป.1(สมศ)'!O32:O33)/4</f>
        <v>0</v>
      </c>
      <c r="T7" s="286" t="str">
        <f aca="true" t="shared" si="0" ref="T7:Y7">IF(N7&gt;=4.51,"ดีมาก",IF(N7&gt;=3.51,"ดี",IF(N7&gt;=2.51,"พอใช้",IF(N7&gt;=1.51,"ต้องปรับปรุง",IF(N7&lt;=1.5,"ต้องปรับปรุงเร่งด่วน")))))</f>
        <v>ต้องปรับปรุงเร่งด่วน</v>
      </c>
      <c r="U7" s="286" t="str">
        <f t="shared" si="0"/>
        <v>ต้องปรับปรุงเร่งด่วน</v>
      </c>
      <c r="V7" s="286" t="str">
        <f t="shared" si="0"/>
        <v>ต้องปรับปรุงเร่งด่วน</v>
      </c>
      <c r="W7" s="288" t="str">
        <f t="shared" si="0"/>
        <v>ต้องปรับปรุงเร่งด่วน</v>
      </c>
      <c r="X7" s="288" t="str">
        <f t="shared" si="0"/>
        <v>ต้องปรับปรุงเร่งด่วน</v>
      </c>
      <c r="Y7" s="289" t="str">
        <f t="shared" si="0"/>
        <v>ต้องปรับปรุงเร่งด่วน</v>
      </c>
    </row>
    <row r="8" spans="1:25" ht="69.75">
      <c r="A8" s="106" t="s">
        <v>36</v>
      </c>
      <c r="B8" s="100">
        <f>('ป.1(สกอ)'!M15+'ป.1(สกอ)'!M18+'ป.1(สกอ)'!M22+'ป.1(สกอ)'!M33)/4</f>
        <v>0</v>
      </c>
      <c r="C8" s="111">
        <f>('ป.1(สกอ)'!N15+'ป.1(สกอ)'!N18+'ป.1(สกอ)'!N22+'ป.1(สกอ)'!N33)/4</f>
        <v>0</v>
      </c>
      <c r="D8" s="100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29+'ป.1(สกอ)'!M31+'ป.1(สกอ)'!M36+'ป.1(สกอ)'!M37+'ป.1(สกอ)'!M39)/17</f>
        <v>0</v>
      </c>
      <c r="E8" s="100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31+'ป.1(สกอ)'!M36+'ป.1(สกอ)'!M37+'ป.1(สกอ)'!M39)/16</f>
        <v>0</v>
      </c>
      <c r="F8" s="100">
        <f>SUM('ป.1(สมศ)'!N75)/1</f>
        <v>0</v>
      </c>
      <c r="G8" s="111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29+'ป.1(สกอ)'!N31+'ป.1(สกอ)'!N36+'ป.1(สกอ)'!N37+'ป.1(สกอ)'!N39)/17</f>
        <v>0</v>
      </c>
      <c r="H8" s="111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31+'ป.1(สกอ)'!N36+'ป.1(สกอ)'!N37+'ป.1(สกอ)'!N39)/16</f>
        <v>0</v>
      </c>
      <c r="I8" s="103">
        <f>SUM('ป.1(สมศ)'!O75)/1</f>
        <v>0</v>
      </c>
      <c r="J8" s="100" t="s">
        <v>188</v>
      </c>
      <c r="K8" s="100">
        <f>SUM('ป.1(สมศ)'!N77,'ป.1(สมศ)'!N65,'ป.1(สมศ)'!N71,'ป.1(สมศ)'!N74,'ป.1(สมศ)'!N40:N41,'ป.1(สมศ)'!N79,'ป.1(สมศ)'!N11,'ป.1(สมศ)'!N72)/8</f>
        <v>0</v>
      </c>
      <c r="L8" s="111" t="s">
        <v>188</v>
      </c>
      <c r="M8" s="103">
        <f>SUM('ป.1(สมศ)'!O77,'ป.1(สมศ)'!O65,'ป.1(สมศ)'!O71,'ป.1(สมศ)'!O72,'ป.1(สมศ)'!O40:O41,'ป.1(สมศ)'!O79,'ป.1(สมศ)'!O11,'ป.1(สมศ)'!O72)/8</f>
        <v>0</v>
      </c>
      <c r="N8" s="101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29+'ป.1(สกอ)'!M31+'ป.1(สกอ)'!M36+'ป.1(สกอ)'!M37+'ป.1(สกอ)'!M39+'ป.1(สกอ)'!M15+'ป.1(สกอ)'!M18+'ป.1(สกอ)'!M22+'ป.1(สกอ)'!M33)/21</f>
        <v>0</v>
      </c>
      <c r="O8" s="101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31+'ป.1(สกอ)'!M36+'ป.1(สกอ)'!M37+'ป.1(สกอ)'!M39+'ป.1(สกอ)'!M15+'ป.1(สกอ)'!M18+'ป.1(สกอ)'!M22+'ป.1(สกอ)'!M33)/20</f>
        <v>0</v>
      </c>
      <c r="P8" s="101">
        <f>SUM('ป.1(สมศ)'!N75,'ป.1(สมศ)'!N77,'ป.1(สมศ)'!N65,'ป.1(สมศ)'!N71,'ป.1(สมศ)'!N74,'ป.1(สมศ)'!N40:N41,'ป.1(สมศ)'!N79,'ป.1(สมศ)'!N11,'ป.1(สมศ)'!N72)/9</f>
        <v>0</v>
      </c>
      <c r="Q8" s="248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29+'ป.1(สกอ)'!N31+'ป.1(สกอ)'!N36+'ป.1(สกอ)'!N37+'ป.1(สกอ)'!N39+'ป.1(สกอ)'!N15+'ป.1(สกอ)'!N18+'ป.1(สกอ)'!N22+'ป.1(สกอ)'!N33)/21</f>
        <v>0</v>
      </c>
      <c r="R8" s="110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31+'ป.1(สกอ)'!N36+'ป.1(สกอ)'!N37+'ป.1(สกอ)'!N39+'ป.1(สกอ)'!N15+'ป.1(สกอ)'!N18+'ป.1(สกอ)'!N22+'ป.1(สกอ)'!N33)/20</f>
        <v>0</v>
      </c>
      <c r="S8" s="97">
        <f>SUM('ป.1(สมศ)'!O11,'ป.1(สมศ)'!O77,'ป.1(สมศ)'!O75,'ป.1(สมศ)'!O65,'ป.1(สมศ)'!O71,'ป.1(สมศ)'!O72,'ป.1(สมศ)'!O74,'ป.1(สมศ)'!O40:O41,'ป.1(สมศ)'!O79)/9</f>
        <v>0</v>
      </c>
      <c r="T8" s="286" t="str">
        <f aca="true" t="shared" si="1" ref="T8:U12">IF(N8&gt;=4.51,"ดีมาก",IF(N8&gt;=3.51,"ดี",IF(N8&gt;=2.51,"พอใช้",IF(N8&gt;=1.51,"ต้องปรับปรุง",IF(N8&lt;=1.5,"ต้องปรับปรุงเร่งด่วน")))))</f>
        <v>ต้องปรับปรุงเร่งด่วน</v>
      </c>
      <c r="U8" s="286" t="str">
        <f t="shared" si="1"/>
        <v>ต้องปรับปรุงเร่งด่วน</v>
      </c>
      <c r="V8" s="286" t="s">
        <v>188</v>
      </c>
      <c r="W8" s="288" t="str">
        <f aca="true" t="shared" si="2" ref="W8:Y12">IF(Q8&gt;=4.51,"ดีมาก",IF(Q8&gt;=3.51,"ดี",IF(Q8&gt;=2.51,"พอใช้",IF(Q8&gt;=1.51,"ต้องปรับปรุง",IF(Q8&lt;=1.5,"ต้องปรับปรุงเร่งด่วน")))))</f>
        <v>ต้องปรับปรุงเร่งด่วน</v>
      </c>
      <c r="X8" s="288" t="str">
        <f t="shared" si="2"/>
        <v>ต้องปรับปรุงเร่งด่วน</v>
      </c>
      <c r="Y8" s="289" t="s">
        <v>188</v>
      </c>
    </row>
    <row r="9" spans="1:25" ht="67.5">
      <c r="A9" s="108" t="s">
        <v>37</v>
      </c>
      <c r="B9" s="100" t="s">
        <v>188</v>
      </c>
      <c r="C9" s="111" t="s">
        <v>188</v>
      </c>
      <c r="D9" s="100">
        <f>('ป.1(สกอ)'!M12+'ป.1(สกอ)'!M21+'ป.1(สกอ)'!M41+'ป.1(สกอ)'!M43+'ป.1(สกอ)'!M44+'ป.1(สกอ)'!M46+'ป.1(สกอ)'!M48)/7</f>
        <v>0</v>
      </c>
      <c r="E9" s="100">
        <f>('ป.1(สกอ)'!M12+'ป.1(สกอ)'!M21+'ป.1(สกอ)'!M41+'ป.1(สกอ)'!M43+'ป.1(สกอ)'!M44+'ป.1(สกอ)'!M46+'ป.1(สกอ)'!M48)/7</f>
        <v>0</v>
      </c>
      <c r="F9" s="100" t="s">
        <v>188</v>
      </c>
      <c r="G9" s="111">
        <f>('ป.1(สกอ)'!N12+'ป.1(สกอ)'!N21+'ป.1(สกอ)'!N41+'ป.1(สกอ)'!N43+'ป.1(สกอ)'!N44+'ป.1(สกอ)'!N46+'ป.1(สกอ)'!N48)/7</f>
        <v>0</v>
      </c>
      <c r="H9" s="111">
        <f>('ป.1(สกอ)'!N12+'ป.1(สกอ)'!N21+'ป.1(สกอ)'!N41+'ป.1(สกอ)'!N43+'ป.1(สกอ)'!N44+'ป.1(สกอ)'!N46+'ป.1(สกอ)'!N48)/7</f>
        <v>0</v>
      </c>
      <c r="I9" s="103" t="s">
        <v>188</v>
      </c>
      <c r="J9" s="100" t="s">
        <v>188</v>
      </c>
      <c r="K9" s="100">
        <f>SUM('ป.1(สมศ)'!N77)/1</f>
        <v>0</v>
      </c>
      <c r="L9" s="111" t="s">
        <v>188</v>
      </c>
      <c r="M9" s="103">
        <f>SUM('ป.1(สมศ)'!O77)/1</f>
        <v>0</v>
      </c>
      <c r="N9" s="101">
        <f>('ป.1(สกอ)'!M12+'ป.1(สกอ)'!M21+'ป.1(สกอ)'!M41+'ป.1(สกอ)'!M43+'ป.1(สกอ)'!M44+'ป.1(สกอ)'!M46+'ป.1(สกอ)'!M48)/7</f>
        <v>0</v>
      </c>
      <c r="O9" s="101">
        <f>('ป.1(สกอ)'!M12+'ป.1(สกอ)'!M21+'ป.1(สกอ)'!M41+'ป.1(สกอ)'!M43+'ป.1(สกอ)'!M44+'ป.1(สกอ)'!M46+'ป.1(สกอ)'!M48)/7</f>
        <v>0</v>
      </c>
      <c r="P9" s="101">
        <f>SUM('ป.1(สมศ)'!N77)/1</f>
        <v>0</v>
      </c>
      <c r="Q9" s="248">
        <f>('ป.1(สกอ)'!N12+'ป.1(สกอ)'!N21+'ป.1(สกอ)'!N41+'ป.1(สกอ)'!N43+'ป.1(สกอ)'!N44+'ป.1(สกอ)'!N46+'ป.1(สกอ)'!N48)/7</f>
        <v>0</v>
      </c>
      <c r="R9" s="110">
        <f>('ป.1(สกอ)'!N12+'ป.1(สกอ)'!N21+'ป.1(สกอ)'!N41+'ป.1(สกอ)'!N43+'ป.1(สกอ)'!N44+'ป.1(สกอ)'!N46+'ป.1(สกอ)'!N48)/7</f>
        <v>0</v>
      </c>
      <c r="S9" s="97">
        <f>SUM('ป.1(สมศ)'!O77)/1</f>
        <v>0</v>
      </c>
      <c r="T9" s="286" t="str">
        <f t="shared" si="1"/>
        <v>ต้องปรับปรุงเร่งด่วน</v>
      </c>
      <c r="U9" s="286" t="str">
        <f t="shared" si="1"/>
        <v>ต้องปรับปรุงเร่งด่วน</v>
      </c>
      <c r="V9" s="286" t="s">
        <v>188</v>
      </c>
      <c r="W9" s="288" t="str">
        <f t="shared" si="2"/>
        <v>ต้องปรับปรุงเร่งด่วน</v>
      </c>
      <c r="X9" s="288" t="str">
        <f t="shared" si="2"/>
        <v>ต้องปรับปรุงเร่งด่วน</v>
      </c>
      <c r="Y9" s="289" t="s">
        <v>188</v>
      </c>
    </row>
    <row r="10" spans="1:25" ht="67.5">
      <c r="A10" s="108" t="s">
        <v>190</v>
      </c>
      <c r="B10" s="100">
        <f>('ป.1(สกอ)'!M15+'ป.1(สกอ)'!M18+'ป.1(สกอ)'!M22+'ป.1(สกอ)'!M33)/4</f>
        <v>0</v>
      </c>
      <c r="C10" s="111">
        <f>('ป.1(สกอ)'!N15+'ป.1(สกอ)'!N18+'ป.1(สกอ)'!N22+'ป.1(สกอ)'!N33)/4</f>
        <v>0</v>
      </c>
      <c r="D10" s="100">
        <f>('ป.1(สกอ)'!M14+'ป.1(สกอ)'!M23+'ป.1(สกอ)'!M24+'ป.1(สกอ)'!M27+'ป.1(สกอ)'!M28+'ป.1(สกอ)'!M29+'ป.1(สกอ)'!M31+'ป.1(สกอ)'!M36+'ป.1(สกอ)'!M37+'ป.1(สกอ)'!M39)/10</f>
        <v>0</v>
      </c>
      <c r="E10" s="100">
        <f>('ป.1(สกอ)'!M14+'ป.1(สกอ)'!M23+'ป.1(สกอ)'!M24+'ป.1(สกอ)'!M27+'ป.1(สกอ)'!M28+'ป.1(สกอ)'!M31+'ป.1(สกอ)'!M36+'ป.1(สกอ)'!M37+'ป.1(สกอ)'!M39)/9</f>
        <v>0</v>
      </c>
      <c r="F10" s="100">
        <f>SUM('ป.1(สมศ)'!N75)/1</f>
        <v>0</v>
      </c>
      <c r="G10" s="111">
        <f>('ป.1(สกอ)'!N14+'ป.1(สกอ)'!N23+'ป.1(สกอ)'!N24+'ป.1(สกอ)'!N27+'ป.1(สกอ)'!N28+'ป.1(สกอ)'!N29+'ป.1(สกอ)'!N31+'ป.1(สกอ)'!N36+'ป.1(สกอ)'!N37+'ป.1(สกอ)'!N39)/10</f>
        <v>0</v>
      </c>
      <c r="H10" s="111">
        <f>('ป.1(สกอ)'!N14+'ป.1(สกอ)'!N23+'ป.1(สกอ)'!N24+'ป.1(สกอ)'!N27+'ป.1(สกอ)'!N28+'ป.1(สกอ)'!N31+'ป.1(สกอ)'!N36+'ป.1(สกอ)'!N37+'ป.1(สกอ)'!N39)/9</f>
        <v>0</v>
      </c>
      <c r="I10" s="103">
        <f>SUM('ป.1(สมศ)'!O75)/1</f>
        <v>0</v>
      </c>
      <c r="J10" s="100" t="s">
        <v>188</v>
      </c>
      <c r="K10" s="100">
        <f>SUM('ป.1(สมศ)'!N65,'ป.1(สมศ)'!N71,'ป.1(สมศ)'!N74,'ป.1(สมศ)'!N40:N41,'ป.1(สมศ)'!N79,'ป.1(สมศ)'!N11,'ป.1(สมศ)'!N72)/7</f>
        <v>0</v>
      </c>
      <c r="L10" s="111" t="s">
        <v>188</v>
      </c>
      <c r="M10" s="103">
        <f>SUM('ป.1(สมศ)'!O65,'ป.1(สมศ)'!O71,'ป.1(สมศ)'!O72,'ป.1(สมศ)'!O40:O41,'ป.1(สมศ)'!O79,'ป.1(สมศ)'!O11,'ป.1(สมศ)'!O72)/7</f>
        <v>0</v>
      </c>
      <c r="N10" s="101">
        <f>('ป.1(สกอ)'!M15+'ป.1(สกอ)'!M18+'ป.1(สกอ)'!M22+'ป.1(สกอ)'!M33+'ป.1(สกอ)'!M14+'ป.1(สกอ)'!M23+'ป.1(สกอ)'!M24+'ป.1(สกอ)'!M27+'ป.1(สกอ)'!M28+'ป.1(สกอ)'!M29+'ป.1(สกอ)'!M31+'ป.1(สกอ)'!M36+'ป.1(สกอ)'!M37+'ป.1(สกอ)'!M39)/14</f>
        <v>0</v>
      </c>
      <c r="O10" s="101">
        <f>('ป.1(สกอ)'!M15+'ป.1(สกอ)'!M18+'ป.1(สกอ)'!M22+'ป.1(สกอ)'!M33+'ป.1(สกอ)'!M14+'ป.1(สกอ)'!M23+'ป.1(สกอ)'!M24+'ป.1(สกอ)'!M27+'ป.1(สกอ)'!M28+'ป.1(สกอ)'!M31+'ป.1(สกอ)'!M36+'ป.1(สกอ)'!M37+'ป.1(สกอ)'!M39)/13</f>
        <v>0</v>
      </c>
      <c r="P10" s="101">
        <f>SUM('ป.1(สมศ)'!N75,'ป.1(สมศ)'!N65,'ป.1(สมศ)'!N71,'ป.1(สมศ)'!N72,'ป.1(สมศ)'!N40:N41,'ป.1(สมศ)'!N79,'ป.1(สมศ)'!N11,'ป.1(สมศ)'!N72)/8</f>
        <v>0</v>
      </c>
      <c r="Q10" s="248">
        <f>('ป.1(สกอ)'!N15+'ป.1(สกอ)'!N18+'ป.1(สกอ)'!N22+'ป.1(สกอ)'!N33+'ป.1(สกอ)'!N14+'ป.1(สกอ)'!N23+'ป.1(สกอ)'!N24+'ป.1(สกอ)'!N27+'ป.1(สกอ)'!N28+'ป.1(สกอ)'!N29+'ป.1(สกอ)'!N31+'ป.1(สกอ)'!N36+'ป.1(สกอ)'!N37+'ป.1(สกอ)'!N39)/14</f>
        <v>0</v>
      </c>
      <c r="R10" s="110">
        <f>('ป.1(สกอ)'!N15+'ป.1(สกอ)'!N18+'ป.1(สกอ)'!N22+'ป.1(สกอ)'!N33+'ป.1(สกอ)'!N14+'ป.1(สกอ)'!N23+'ป.1(สกอ)'!N24+'ป.1(สกอ)'!N27+'ป.1(สกอ)'!N28+'ป.1(สกอ)'!N31+'ป.1(สกอ)'!N36+'ป.1(สกอ)'!N37+'ป.1(สกอ)'!N39)/13</f>
        <v>0</v>
      </c>
      <c r="S10" s="97">
        <f>SUM('ป.1(สมศ)'!O75,'ป.1(สมศ)'!O65,'ป.1(สมศ)'!O71,'ป.1(สมศ)'!O72,'ป.1(สมศ)'!O40:O41,'ป.1(สมศ)'!O79,'ป.1(สมศ)'!O11,'ป.1(สมศ)'!O72)/8</f>
        <v>0</v>
      </c>
      <c r="T10" s="286" t="str">
        <f t="shared" si="1"/>
        <v>ต้องปรับปรุงเร่งด่วน</v>
      </c>
      <c r="U10" s="286" t="str">
        <f t="shared" si="1"/>
        <v>ต้องปรับปรุงเร่งด่วน</v>
      </c>
      <c r="V10" s="286" t="str">
        <f>IF(P10&gt;=4.51,"ดีมาก",IF(P10&gt;=3.51,"ดี",IF(P10&gt;=2.51,"พอใช้",IF(P10&gt;=1.51,"ต้องปรับปรุง",IF(P10&lt;=1.5,"ต้องปรับปรุงเร่งด่วน")))))</f>
        <v>ต้องปรับปรุงเร่งด่วน</v>
      </c>
      <c r="W10" s="288" t="str">
        <f t="shared" si="2"/>
        <v>ต้องปรับปรุงเร่งด่วน</v>
      </c>
      <c r="X10" s="288" t="str">
        <f t="shared" si="2"/>
        <v>ต้องปรับปรุงเร่งด่วน</v>
      </c>
      <c r="Y10" s="289" t="str">
        <f t="shared" si="2"/>
        <v>ต้องปรับปรุงเร่งด่วน</v>
      </c>
    </row>
    <row r="11" spans="1:25" ht="93">
      <c r="A11" s="106" t="s">
        <v>191</v>
      </c>
      <c r="B11" s="109" t="s">
        <v>188</v>
      </c>
      <c r="C11" s="111" t="s">
        <v>188</v>
      </c>
      <c r="D11" s="100">
        <f>('ป.1(สกอ)'!M32+'ป.1(สกอ)'!M42)/2</f>
        <v>0</v>
      </c>
      <c r="E11" s="100">
        <f>('ป.1(สกอ)'!M32+'ป.1(สกอ)'!M42)/2</f>
        <v>0</v>
      </c>
      <c r="F11" s="100" t="s">
        <v>188</v>
      </c>
      <c r="G11" s="111">
        <f>('ป.1(สกอ)'!N32+'ป.1(สกอ)'!N42)/2</f>
        <v>0</v>
      </c>
      <c r="H11" s="111">
        <f>('ป.1(สกอ)'!N32+'ป.1(สกอ)'!N42)/2</f>
        <v>0</v>
      </c>
      <c r="I11" s="103" t="s">
        <v>188</v>
      </c>
      <c r="J11" s="100" t="s">
        <v>188</v>
      </c>
      <c r="K11" s="100">
        <f>SUM('ป.1(สมศ)'!N43:N44,'ป.1(สมศ)'!N56:N57,'ป.1(สมศ)'!N58:N59)/3</f>
        <v>0</v>
      </c>
      <c r="L11" s="111" t="s">
        <v>188</v>
      </c>
      <c r="M11" s="103">
        <f>SUM('ป.1(สมศ)'!O43:O44,'ป.1(สมศ)'!O56:O57,'ป.1(สมศ)'!O58:O59)/3</f>
        <v>0</v>
      </c>
      <c r="N11" s="101">
        <f>('ป.1(สกอ)'!M32+'ป.1(สกอ)'!M42)/2</f>
        <v>0</v>
      </c>
      <c r="O11" s="101">
        <f>('ป.1(สกอ)'!M32+'ป.1(สกอ)'!M42)/2</f>
        <v>0</v>
      </c>
      <c r="P11" s="101">
        <f>SUM('ป.1(สมศ)'!N43:N44,'ป.1(สมศ)'!N56:N57,'ป.1(สมศ)'!N58:N59)/3</f>
        <v>0</v>
      </c>
      <c r="Q11" s="248">
        <f>('ป.1(สกอ)'!N32+'ป.1(สกอ)'!N42)/2</f>
        <v>0</v>
      </c>
      <c r="R11" s="110">
        <f>('ป.1(สกอ)'!N32+'ป.1(สกอ)'!N42)/2</f>
        <v>0</v>
      </c>
      <c r="S11" s="97">
        <f>SUM('ป.1(สมศ)'!O43:O44,'ป.1(สมศ)'!O56:O57,'ป.1(สมศ)'!O58:O59)/3</f>
        <v>0</v>
      </c>
      <c r="T11" s="286" t="str">
        <f t="shared" si="1"/>
        <v>ต้องปรับปรุงเร่งด่วน</v>
      </c>
      <c r="U11" s="286" t="str">
        <f t="shared" si="1"/>
        <v>ต้องปรับปรุงเร่งด่วน</v>
      </c>
      <c r="V11" s="286" t="str">
        <f>IF(P11&gt;=4.51,"ดีมาก",IF(P11&gt;=3.51,"ดี",IF(P11&gt;=2.51,"พอใช้",IF(P11&gt;=1.51,"ต้องปรับปรุง",IF(P11&lt;=1.5,"ต้องปรับปรุงเร่งด่วน")))))</f>
        <v>ต้องปรับปรุงเร่งด่วน</v>
      </c>
      <c r="W11" s="288" t="str">
        <f t="shared" si="2"/>
        <v>ต้องปรับปรุงเร่งด่วน</v>
      </c>
      <c r="X11" s="288" t="str">
        <f t="shared" si="2"/>
        <v>ต้องปรับปรุงเร่งด่วน</v>
      </c>
      <c r="Y11" s="289" t="str">
        <f t="shared" si="2"/>
        <v>ต้องปรับปรุงเร่งด่วน</v>
      </c>
    </row>
    <row r="12" spans="1:25" ht="65.25">
      <c r="A12" s="96" t="s">
        <v>192</v>
      </c>
      <c r="B12" s="94">
        <f>('ป.1(สกอ)'!M15+'ป.1(สกอ)'!M18+'ป.1(สกอ)'!M22+'ป.1(สกอ)'!M33)/4</f>
        <v>0</v>
      </c>
      <c r="C12" s="110">
        <f>('ป.1(สกอ)'!N15+'ป.1(สกอ)'!N18+'ป.1(สกอ)'!N22+'ป.1(สกอ)'!N33)/4</f>
        <v>0</v>
      </c>
      <c r="D12" s="94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29+'ป.1(สกอ)'!M31+'ป.1(สกอ)'!M36+'ป.1(สกอ)'!M37+'ป.1(สกอ)'!M39+'ป.1(สกอ)'!M32+'ป.1(สกอ)'!M42)/19</f>
        <v>0</v>
      </c>
      <c r="E12" s="94">
        <f>(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31+'ป.1(สกอ)'!M36+'ป.1(สกอ)'!M37+'ป.1(สกอ)'!M39+'ป.1(สกอ)'!M32+'ป.1(สกอ)'!M42)/18</f>
        <v>0</v>
      </c>
      <c r="F12" s="94">
        <f>SUM('ป.1(สมศ)'!N75)/1</f>
        <v>0</v>
      </c>
      <c r="G12" s="110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29+'ป.1(สกอ)'!N31+'ป.1(สกอ)'!N36+'ป.1(สกอ)'!N37+'ป.1(สกอ)'!N39+'ป.1(สกอ)'!N32+'ป.1(สกอ)'!N42)/19</f>
        <v>0</v>
      </c>
      <c r="H12" s="110">
        <f>('ป.1(สกอ)'!N12+'ป.1(สกอ)'!N21+'ป.1(สกอ)'!N41+'ป.1(สกอ)'!N43+'ป.1(สกอ)'!N44+'ป.1(สกอ)'!N46+'ป.1(สกอ)'!N48+'ป.1(สกอ)'!N14+'ป.1(สกอ)'!N23+'ป.1(สกอ)'!N24+'ป.1(สกอ)'!N27+'ป.1(สกอ)'!N28+'ป.1(สกอ)'!N31+'ป.1(สกอ)'!N36+'ป.1(สกอ)'!N37+'ป.1(สกอ)'!N39+'ป.1(สกอ)'!N32+'ป.1(สกอ)'!N42)/18</f>
        <v>0</v>
      </c>
      <c r="I12" s="97">
        <f>SUM('ป.1(สมศ)'!O75)/1</f>
        <v>0</v>
      </c>
      <c r="J12" s="94">
        <f>('ป.1(สกอ)'!M25)/1</f>
        <v>0</v>
      </c>
      <c r="K12" s="94">
        <f>SUM('ป.1(สมศ)'!N13:N14,'ป.1(สมศ)'!N17:N17,'ป.1(สมศ)'!N19:N20,'ป.1(สมศ)'!N32:N33,'ป.1(สมศ)'!N77,'ป.1(สมศ)'!N65,'ป.1(สมศ)'!N71,'ป.1(สมศ)'!N74,'ป.1(สมศ)'!N40:N41,'ป.1(สมศ)'!N79,'ป.1(สมศ)'!N11,'ป.1(สมศ)'!N72,'ป.1(สมศ)'!N43:N44,'ป.1(สมศ)'!N56:N57,'ป.1(สมศ)'!N58:N59)/15</f>
        <v>0</v>
      </c>
      <c r="L12" s="110">
        <f>('ป.1(สกอ)'!N25)/1</f>
        <v>0</v>
      </c>
      <c r="M12" s="97">
        <f>SUM('ป.1(สมศ)'!O13:O14,'ป.1(สมศ)'!O17:O17,'ป.1(สมศ)'!O19:O20,'ป.1(สมศ)'!O32:O33,'ป.1(สมศ)'!O77,'ป.1(สมศ)'!O65,'ป.1(สมศ)'!O71,'ป.1(สมศ)'!O74,'ป.1(สมศ)'!O40:O41,'ป.1(สมศ)'!O79,'ป.1(สมศ)'!O11,'ป.1(สมศ)'!O72,'ป.1(สมศ)'!O43:O44,'ป.1(สมศ)'!O56:O57,'ป.1(สมศ)'!O58:O59)/15</f>
        <v>0</v>
      </c>
      <c r="N12" s="94">
        <f>('ป.1(สกอ)'!M25+'ป.1(สกอ)'!M12+'ป.1(สกอ)'!M21+'ป.1(สกอ)'!M41+'ป.1(สกอ)'!M43+'ป.1(สกอ)'!M44+'ป.1(สกอ)'!M46+'ป.1(สกอ)'!M48+'ป.1(สกอ)'!M14+'ป.1(สกอ)'!M23+'ป.1(สกอ)'!M24+'ป.1(สกอ)'!M27+'ป.1(สกอ)'!M28+'ป.1(สกอ)'!M29+'ป.1(สกอ)'!M31+'ป.1(สกอ)'!M36+'ป.1(สกอ)'!M37+'ป.1(สกอ)'!M39+'ป.1(สกอ)'!M15+'ป.1(สกอ)'!M18+'ป.1(สกอ)'!M22+'ป.1(สกอ)'!M33+'ป.1(สกอ)'!M32+'ป.1(สกอ)'!M42)/24</f>
        <v>0</v>
      </c>
      <c r="O12" s="94">
        <f>('ป.1(สกอ)'!M15+'ป.1(สกอ)'!M18+'ป.1(สกอ)'!M22+'ป.1(สกอ)'!M33+'ป.1(สกอ)'!M12+'ป.1(สกอ)'!M14+'ป.1(สกอ)'!M21+'ป.1(สกอ)'!M23+'ป.1(สกอ)'!M24+'ป.1(สกอ)'!M25+'ป.1(สกอ)'!M27+'ป.1(สกอ)'!M28+'ป.1(สกอ)'!M31+'ป.1(สกอ)'!M32+'ป.1(สกอ)'!M36+'ป.1(สกอ)'!M37+'ป.1(สกอ)'!M39+'ป.1(สกอ)'!M41+'ป.1(สกอ)'!M42+'ป.1(สกอ)'!M43+'ป.1(สกอ)'!M44+'ป.1(สกอ)'!M46+'ป.1(สกอ)'!M48)/23</f>
        <v>0</v>
      </c>
      <c r="P12" s="94">
        <f>SUM('ป.1(สมศ)'!N13:N14,'ป.1(สมศ)'!N17:N17,'ป.1(สมศ)'!N19:N20,'ป.1(สมศ)'!N32:N33,'ป.1(สมศ)'!N77,'ป.1(สมศ)'!N11,'ป.1(สมศ)'!N75,'ป.1(สมศ)'!N65,'ป.1(สมศ)'!N71,'ป.1(สมศ)'!N74,'ป.1(สมศ)'!N72,'ป.1(สมศ)'!N40:N41,'ป.1(สมศ)'!N79,'ป.1(สมศ)'!N43:N44,'ป.1(สมศ)'!N56:N57,'ป.1(สมศ)'!N58:N59)/16</f>
        <v>0</v>
      </c>
      <c r="Q12" s="248">
        <f>('ป.1(สกอ)'!N15+'ป.1(สกอ)'!N18+'ป.1(สกอ)'!N22+'ป.1(สกอ)'!N33+'ป.1(สกอ)'!N12+'ป.1(สกอ)'!N14+'ป.1(สกอ)'!N21+'ป.1(สกอ)'!N23+'ป.1(สกอ)'!N24+'ป.1(สกอ)'!N25+'ป.1(สกอ)'!N27+'ป.1(สกอ)'!N28+'ป.1(สกอ)'!N29+'ป.1(สกอ)'!N31+'ป.1(สกอ)'!N32+'ป.1(สกอ)'!N36+'ป.1(สกอ)'!N37+'ป.1(สกอ)'!N39+'ป.1(สกอ)'!N41+'ป.1(สกอ)'!N42+'ป.1(สกอ)'!N43+'ป.1(สกอ)'!N44+'ป.1(สกอ)'!N46+'ป.1(สกอ)'!N48)/24</f>
        <v>0</v>
      </c>
      <c r="R12" s="110">
        <f>('ป.1(สกอ)'!N15+'ป.1(สกอ)'!N18+'ป.1(สกอ)'!N22+'ป.1(สกอ)'!N33+'ป.1(สกอ)'!N12+'ป.1(สกอ)'!N14+'ป.1(สกอ)'!N21+'ป.1(สกอ)'!N23+'ป.1(สกอ)'!N24+'ป.1(สกอ)'!N25+'ป.1(สกอ)'!N27+'ป.1(สกอ)'!N28+'ป.1(สกอ)'!N31+'ป.1(สกอ)'!N32+'ป.1(สกอ)'!N36+'ป.1(สกอ)'!N37+'ป.1(สกอ)'!N39+'ป.1(สกอ)'!N41+'ป.1(สกอ)'!N42+'ป.1(สกอ)'!N43+'ป.1(สกอ)'!N44+'ป.1(สกอ)'!N46+'ป.1(สกอ)'!N48)/23</f>
        <v>0</v>
      </c>
      <c r="S12" s="97">
        <f>SUM('ป.1(สมศ)'!O13:O14,'ป.1(สมศ)'!O17:O17,'ป.1(สมศ)'!O19:O20,'ป.1(สมศ)'!O32:O33,'ป.1(สมศ)'!O11,'ป.1(สมศ)'!O77,'ป.1(สมศ)'!O75,'ป.1(สมศ)'!O65,'ป.1(สมศ)'!O71,'ป.1(สมศ)'!O72,'ป.1(สมศ)'!O74,'ป.1(สมศ)'!O40:O41,'ป.1(สมศ)'!O79,'ป.1(สมศ)'!O43:O44,'ป.1(สมศ)'!O56:O57,'ป.1(สมศ)'!O58:O59)/16</f>
        <v>0</v>
      </c>
      <c r="T12" s="286" t="str">
        <f t="shared" si="1"/>
        <v>ต้องปรับปรุงเร่งด่วน</v>
      </c>
      <c r="U12" s="286" t="str">
        <f t="shared" si="1"/>
        <v>ต้องปรับปรุงเร่งด่วน</v>
      </c>
      <c r="V12" s="286" t="str">
        <f>IF(P12&gt;=4.51,"ดีมาก",IF(P12&gt;=3.51,"ดี",IF(P12&gt;=2.51,"พอใช้",IF(P12&gt;=1.51,"ต้องปรับปรุง",IF(P12&lt;=1.5,"ต้องปรับปรุงเร่งด่วน")))))</f>
        <v>ต้องปรับปรุงเร่งด่วน</v>
      </c>
      <c r="W12" s="288" t="str">
        <f t="shared" si="2"/>
        <v>ต้องปรับปรุงเร่งด่วน</v>
      </c>
      <c r="X12" s="288" t="str">
        <f t="shared" si="2"/>
        <v>ต้องปรับปรุงเร่งด่วน</v>
      </c>
      <c r="Y12" s="289" t="str">
        <f t="shared" si="2"/>
        <v>ต้องปรับปรุงเร่งด่วน</v>
      </c>
    </row>
    <row r="13" spans="1:25" ht="84">
      <c r="A13" s="32" t="s">
        <v>141</v>
      </c>
      <c r="B13" s="285" t="str">
        <f>IF(B12&gt;=4.51,"ดีมาก",IF(B12&gt;=3.51,"ดี",IF(B12&gt;=2.51,"พอใช้",IF(B12&gt;=1.51,"ต้องปรับปรุง",IF(B12&lt;=1.5,"ต้องปรับปรุงเร่งด่วน")))))</f>
        <v>ต้องปรับปรุงเร่งด่วน</v>
      </c>
      <c r="C13" s="285" t="str">
        <f aca="true" t="shared" si="3" ref="C13:S13">IF(C12&gt;=4.51,"ดีมาก",IF(C12&gt;=3.51,"ดี",IF(C12&gt;=2.51,"พอใช้",IF(C12&gt;=1.51,"ต้องปรับปรุง",IF(C12&lt;=1.5,"ต้องปรับปรุงเร่งด่วน")))))</f>
        <v>ต้องปรับปรุงเร่งด่วน</v>
      </c>
      <c r="D13" s="285" t="str">
        <f t="shared" si="3"/>
        <v>ต้องปรับปรุงเร่งด่วน</v>
      </c>
      <c r="E13" s="285" t="str">
        <f t="shared" si="3"/>
        <v>ต้องปรับปรุงเร่งด่วน</v>
      </c>
      <c r="F13" s="285" t="str">
        <f t="shared" si="3"/>
        <v>ต้องปรับปรุงเร่งด่วน</v>
      </c>
      <c r="G13" s="285" t="str">
        <f t="shared" si="3"/>
        <v>ต้องปรับปรุงเร่งด่วน</v>
      </c>
      <c r="H13" s="285" t="str">
        <f t="shared" si="3"/>
        <v>ต้องปรับปรุงเร่งด่วน</v>
      </c>
      <c r="I13" s="285" t="str">
        <f t="shared" si="3"/>
        <v>ต้องปรับปรุงเร่งด่วน</v>
      </c>
      <c r="J13" s="285" t="str">
        <f t="shared" si="3"/>
        <v>ต้องปรับปรุงเร่งด่วน</v>
      </c>
      <c r="K13" s="285" t="str">
        <f t="shared" si="3"/>
        <v>ต้องปรับปรุงเร่งด่วน</v>
      </c>
      <c r="L13" s="285" t="str">
        <f t="shared" si="3"/>
        <v>ต้องปรับปรุงเร่งด่วน</v>
      </c>
      <c r="M13" s="285" t="str">
        <f t="shared" si="3"/>
        <v>ต้องปรับปรุงเร่งด่วน</v>
      </c>
      <c r="N13" s="285" t="str">
        <f t="shared" si="3"/>
        <v>ต้องปรับปรุงเร่งด่วน</v>
      </c>
      <c r="O13" s="285" t="str">
        <f t="shared" si="3"/>
        <v>ต้องปรับปรุงเร่งด่วน</v>
      </c>
      <c r="P13" s="285" t="str">
        <f t="shared" si="3"/>
        <v>ต้องปรับปรุงเร่งด่วน</v>
      </c>
      <c r="Q13" s="285" t="str">
        <f t="shared" si="3"/>
        <v>ต้องปรับปรุงเร่งด่วน</v>
      </c>
      <c r="R13" s="285" t="str">
        <f t="shared" si="3"/>
        <v>ต้องปรับปรุงเร่งด่วน</v>
      </c>
      <c r="S13" s="285" t="str">
        <f t="shared" si="3"/>
        <v>ต้องปรับปรุงเร่งด่วน</v>
      </c>
      <c r="T13" s="245"/>
      <c r="U13" s="34"/>
      <c r="V13" s="34"/>
      <c r="W13" s="34"/>
      <c r="X13" s="34"/>
      <c r="Y13" s="34"/>
    </row>
    <row r="14" ht="22.5">
      <c r="AA14" s="38"/>
    </row>
    <row r="15" ht="22.5">
      <c r="AA15" s="38"/>
    </row>
    <row r="16" ht="22.5">
      <c r="AA16" s="38"/>
    </row>
    <row r="17" spans="26:27" ht="22.5">
      <c r="Z17" s="37"/>
      <c r="AA17" s="38"/>
    </row>
    <row r="18" spans="5:27" ht="22.5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7"/>
    </row>
    <row r="19" spans="5:26" ht="22.5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21:25" ht="22.5">
      <c r="U20" s="27"/>
      <c r="V20" s="27"/>
      <c r="W20" s="27"/>
      <c r="X20" s="27"/>
      <c r="Y20" s="27"/>
    </row>
    <row r="21" spans="21:25" ht="22.5">
      <c r="U21" s="27"/>
      <c r="V21" s="27"/>
      <c r="W21" s="27"/>
      <c r="X21" s="27"/>
      <c r="Y21" s="27"/>
    </row>
  </sheetData>
  <sheetProtection/>
  <mergeCells count="17">
    <mergeCell ref="W5:Y5"/>
    <mergeCell ref="B4:C4"/>
    <mergeCell ref="J5:K5"/>
    <mergeCell ref="J4:M4"/>
    <mergeCell ref="G5:I5"/>
    <mergeCell ref="D5:F5"/>
    <mergeCell ref="D4:I4"/>
    <mergeCell ref="A1:Y1"/>
    <mergeCell ref="A2:Y2"/>
    <mergeCell ref="N5:P5"/>
    <mergeCell ref="Q5:S5"/>
    <mergeCell ref="B3:S3"/>
    <mergeCell ref="A3:A6"/>
    <mergeCell ref="L5:M5"/>
    <mergeCell ref="N4:S4"/>
    <mergeCell ref="T3:Y4"/>
    <mergeCell ref="T5:V5"/>
  </mergeCells>
  <printOptions/>
  <pageMargins left="0.15748031496062992" right="0.1968503937007874" top="0.31496062992125984" bottom="0.31496062992125984" header="0.1968503937007874" footer="0.15748031496062992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="73" zoomScaleNormal="73" zoomScalePageLayoutView="0" workbookViewId="0" topLeftCell="A1">
      <selection activeCell="S12" sqref="S12"/>
    </sheetView>
  </sheetViews>
  <sheetFormatPr defaultColWidth="9.140625" defaultRowHeight="12.75"/>
  <cols>
    <col min="1" max="1" width="16.7109375" style="27" customWidth="1"/>
    <col min="2" max="3" width="8.7109375" style="37" customWidth="1"/>
    <col min="4" max="4" width="9.00390625" style="37" customWidth="1"/>
    <col min="5" max="5" width="8.00390625" style="37" bestFit="1" customWidth="1"/>
    <col min="6" max="6" width="8.00390625" style="37" customWidth="1"/>
    <col min="7" max="7" width="9.28125" style="37" bestFit="1" customWidth="1"/>
    <col min="8" max="8" width="7.57421875" style="37" bestFit="1" customWidth="1"/>
    <col min="9" max="9" width="7.57421875" style="37" customWidth="1"/>
    <col min="10" max="10" width="8.00390625" style="37" bestFit="1" customWidth="1"/>
    <col min="11" max="11" width="8.57421875" style="37" bestFit="1" customWidth="1"/>
    <col min="12" max="12" width="7.57421875" style="37" bestFit="1" customWidth="1"/>
    <col min="13" max="13" width="8.140625" style="37" customWidth="1"/>
    <col min="14" max="14" width="9.28125" style="37" bestFit="1" customWidth="1"/>
    <col min="15" max="15" width="8.00390625" style="37" bestFit="1" customWidth="1"/>
    <col min="16" max="16" width="8.00390625" style="37" customWidth="1"/>
    <col min="17" max="17" width="9.00390625" style="37" customWidth="1"/>
    <col min="18" max="18" width="7.57421875" style="37" bestFit="1" customWidth="1"/>
    <col min="19" max="19" width="8.57421875" style="37" bestFit="1" customWidth="1"/>
    <col min="20" max="20" width="7.7109375" style="37" customWidth="1"/>
    <col min="21" max="21" width="8.140625" style="37" customWidth="1"/>
    <col min="22" max="22" width="8.00390625" style="37" customWidth="1"/>
    <col min="23" max="23" width="8.28125" style="37" customWidth="1"/>
    <col min="24" max="24" width="7.7109375" style="37" customWidth="1"/>
    <col min="25" max="25" width="8.00390625" style="37" customWidth="1"/>
    <col min="26" max="16384" width="9.140625" style="27" customWidth="1"/>
  </cols>
  <sheetData>
    <row r="1" spans="1:25" ht="23.25" customHeight="1">
      <c r="A1" s="464" t="s">
        <v>143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5" ht="30">
      <c r="A2" s="466" t="s">
        <v>33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1:25" ht="23.25" customHeight="1">
      <c r="A3" s="467" t="s">
        <v>214</v>
      </c>
      <c r="B3" s="472" t="s">
        <v>517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4"/>
      <c r="T3" s="458" t="s">
        <v>28</v>
      </c>
      <c r="U3" s="459"/>
      <c r="V3" s="459"/>
      <c r="W3" s="459"/>
      <c r="X3" s="459"/>
      <c r="Y3" s="460"/>
    </row>
    <row r="4" spans="1:25" ht="23.25" customHeight="1">
      <c r="A4" s="468"/>
      <c r="B4" s="472" t="s">
        <v>29</v>
      </c>
      <c r="C4" s="473"/>
      <c r="D4" s="472" t="s">
        <v>30</v>
      </c>
      <c r="E4" s="473"/>
      <c r="F4" s="473"/>
      <c r="G4" s="473"/>
      <c r="H4" s="473"/>
      <c r="I4" s="474"/>
      <c r="J4" s="472" t="s">
        <v>31</v>
      </c>
      <c r="K4" s="473"/>
      <c r="L4" s="473"/>
      <c r="M4" s="474"/>
      <c r="N4" s="472" t="s">
        <v>32</v>
      </c>
      <c r="O4" s="473"/>
      <c r="P4" s="473"/>
      <c r="Q4" s="473"/>
      <c r="R4" s="473"/>
      <c r="S4" s="474"/>
      <c r="T4" s="461"/>
      <c r="U4" s="462"/>
      <c r="V4" s="462"/>
      <c r="W4" s="462"/>
      <c r="X4" s="462"/>
      <c r="Y4" s="463"/>
    </row>
    <row r="5" spans="1:25" ht="23.25" customHeight="1">
      <c r="A5" s="468"/>
      <c r="B5" s="118" t="s">
        <v>12</v>
      </c>
      <c r="C5" s="118" t="s">
        <v>13</v>
      </c>
      <c r="D5" s="470" t="s">
        <v>12</v>
      </c>
      <c r="E5" s="475"/>
      <c r="F5" s="471"/>
      <c r="G5" s="470" t="s">
        <v>13</v>
      </c>
      <c r="H5" s="475"/>
      <c r="I5" s="471"/>
      <c r="J5" s="470" t="s">
        <v>12</v>
      </c>
      <c r="K5" s="471"/>
      <c r="L5" s="470" t="s">
        <v>13</v>
      </c>
      <c r="M5" s="471"/>
      <c r="N5" s="470" t="s">
        <v>12</v>
      </c>
      <c r="O5" s="475"/>
      <c r="P5" s="471"/>
      <c r="Q5" s="470" t="s">
        <v>13</v>
      </c>
      <c r="R5" s="475"/>
      <c r="S5" s="471"/>
      <c r="T5" s="470" t="s">
        <v>12</v>
      </c>
      <c r="U5" s="475"/>
      <c r="V5" s="471"/>
      <c r="W5" s="470" t="s">
        <v>13</v>
      </c>
      <c r="X5" s="475"/>
      <c r="Y5" s="471"/>
    </row>
    <row r="6" spans="1:25" ht="23.25" customHeight="1">
      <c r="A6" s="469"/>
      <c r="B6" s="119" t="s">
        <v>186</v>
      </c>
      <c r="C6" s="119" t="s">
        <v>186</v>
      </c>
      <c r="D6" s="221" t="s">
        <v>518</v>
      </c>
      <c r="E6" s="119" t="s">
        <v>186</v>
      </c>
      <c r="F6" s="221" t="s">
        <v>187</v>
      </c>
      <c r="G6" s="221" t="s">
        <v>518</v>
      </c>
      <c r="H6" s="119" t="s">
        <v>186</v>
      </c>
      <c r="I6" s="221" t="s">
        <v>187</v>
      </c>
      <c r="J6" s="119" t="s">
        <v>186</v>
      </c>
      <c r="K6" s="119" t="s">
        <v>187</v>
      </c>
      <c r="L6" s="119" t="s">
        <v>186</v>
      </c>
      <c r="M6" s="119" t="s">
        <v>187</v>
      </c>
      <c r="N6" s="221" t="s">
        <v>518</v>
      </c>
      <c r="O6" s="119" t="s">
        <v>186</v>
      </c>
      <c r="P6" s="119" t="s">
        <v>187</v>
      </c>
      <c r="Q6" s="221" t="s">
        <v>518</v>
      </c>
      <c r="R6" s="119" t="s">
        <v>186</v>
      </c>
      <c r="S6" s="119" t="s">
        <v>187</v>
      </c>
      <c r="T6" s="221" t="s">
        <v>518</v>
      </c>
      <c r="U6" s="119" t="s">
        <v>186</v>
      </c>
      <c r="V6" s="119" t="s">
        <v>187</v>
      </c>
      <c r="W6" s="221" t="s">
        <v>518</v>
      </c>
      <c r="X6" s="119" t="s">
        <v>186</v>
      </c>
      <c r="Y6" s="119" t="s">
        <v>187</v>
      </c>
    </row>
    <row r="7" spans="1:25" ht="65.25">
      <c r="A7" s="33" t="s">
        <v>38</v>
      </c>
      <c r="B7" s="100" t="s">
        <v>188</v>
      </c>
      <c r="C7" s="111" t="s">
        <v>188</v>
      </c>
      <c r="D7" s="100">
        <f>('ป.1(สกอ)'!M23+'ป.1(สกอ)'!M24+'ป.1(สกอ)'!M27+'ป.1(สกอ)'!M28+'ป.1(สกอ)'!M29+'ป.1(สกอ)'!M36+'ป.1(สกอ)'!M37)/7</f>
        <v>0</v>
      </c>
      <c r="E7" s="100">
        <f>('ป.1(สกอ)'!M23+'ป.1(สกอ)'!M24+'ป.1(สกอ)'!M27+'ป.1(สกอ)'!M28+'ป.1(สกอ)'!M36+'ป.1(สกอ)'!M37)/6</f>
        <v>0</v>
      </c>
      <c r="F7" s="103" t="s">
        <v>188</v>
      </c>
      <c r="G7" s="249">
        <f>('ป.1(สกอ)'!N23+'ป.1(สกอ)'!N24+'ป.1(สกอ)'!N27+'ป.1(สกอ)'!N28+'ป.1(สกอ)'!N29+'ป.1(สกอ)'!N36+'ป.1(สกอ)'!N37)/7</f>
        <v>0</v>
      </c>
      <c r="H7" s="111">
        <f>('ป.1(สกอ)'!N23+'ป.1(สกอ)'!N24+'ป.1(สกอ)'!N27+'ป.1(สกอ)'!N28+'ป.1(สกอ)'!N36+'ป.1(สกอ)'!N37)/6</f>
        <v>0</v>
      </c>
      <c r="I7" s="103"/>
      <c r="J7" s="100">
        <f>('ป.1(สกอ)'!M25)/1</f>
        <v>0</v>
      </c>
      <c r="K7" s="100">
        <f>SUM('ป.1(สมศ)'!N13:N14,'ป.1(สมศ)'!N17:N18,'ป.1(สมศ)'!N19:N20,'ป.1(สมศ)'!N32:N33,'ป.1(สมศ)'!N65,'ป.1(สมศ)'!N71,'ป.1(สมศ)'!N72)/7</f>
        <v>0</v>
      </c>
      <c r="L7" s="111">
        <f>('ป.1(สกอ)'!N25)/1</f>
        <v>0</v>
      </c>
      <c r="M7" s="103">
        <f>SUM('ป.1(สมศ)'!O13:O14,'ป.1(สมศ)'!O17:O17,'ป.1(สมศ)'!O19:O20,'ป.1(สมศ)'!O32:O33,'ป.1(สมศ)'!O65,'ป.1(สมศ)'!O71,'ป.1(สมศ)'!O72)/7</f>
        <v>0</v>
      </c>
      <c r="N7" s="101">
        <f>('ป.1(สกอ)'!M23+'ป.1(สกอ)'!M24+'ป.1(สกอ)'!M27+'ป.1(สกอ)'!M28+'ป.1(สกอ)'!M29+'ป.1(สกอ)'!M36+'ป.1(สกอ)'!M37+'ป.1(สกอ)'!M25)/8</f>
        <v>0</v>
      </c>
      <c r="O7" s="101">
        <f>('ป.1(สกอ)'!M23+'ป.1(สกอ)'!M24+'ป.1(สกอ)'!M27+'ป.1(สกอ)'!M28+'ป.1(สกอ)'!M36+'ป.1(สกอ)'!M37+'ป.1(สกอ)'!M25)/7</f>
        <v>0</v>
      </c>
      <c r="P7" s="101">
        <f>SUM('ป.1(สมศ)'!N13:N14,'ป.1(สมศ)'!N17:N17,'ป.1(สมศ)'!N19:N20,'ป.1(สมศ)'!N32:N33,'ป.1(สมศ)'!N65,'ป.1(สมศ)'!N71,'ป.1(สมศ)'!N72)/7</f>
        <v>0</v>
      </c>
      <c r="Q7" s="110">
        <f>('ป.1(สกอ)'!N23+'ป.1(สกอ)'!N24+'ป.1(สกอ)'!N27+'ป.1(สกอ)'!N28+'ป.1(สกอ)'!N29+'ป.1(สกอ)'!N36+'ป.1(สกอ)'!N37+'ป.1(สกอ)'!N25)/8</f>
        <v>0</v>
      </c>
      <c r="R7" s="110">
        <f>('ป.1(สกอ)'!N23+'ป.1(สกอ)'!N24+'ป.1(สกอ)'!N27+'ป.1(สกอ)'!N28+'ป.1(สกอ)'!N36+'ป.1(สกอ)'!N37+'ป.1(สกอ)'!N25)/7</f>
        <v>0</v>
      </c>
      <c r="S7" s="97">
        <f>SUM('ป.1(สมศ)'!O13:O14,'ป.1(สมศ)'!O17:O17,'ป.1(สมศ)'!O19:O20,'ป.1(สมศ)'!O32:O33,'ป.1(สมศ)'!O65,'ป.1(สมศ)'!O71,'ป.1(สมศ)'!O72)/7</f>
        <v>0</v>
      </c>
      <c r="T7" s="286" t="str">
        <f aca="true" t="shared" si="0" ref="T7:Y8">IF(N7&gt;=4.51,"ดีมาก",IF(N7&gt;=3.51,"ดี",IF(N7&gt;=2.51,"พอใช้",IF(N7&gt;=1.51,"ต้องปรับปรุง",IF(N7&lt;=1.5,"ต้องปรับปรุงเร่งด่วน")))))</f>
        <v>ต้องปรับปรุงเร่งด่วน</v>
      </c>
      <c r="U7" s="286" t="str">
        <f t="shared" si="0"/>
        <v>ต้องปรับปรุงเร่งด่วน</v>
      </c>
      <c r="V7" s="286" t="str">
        <f t="shared" si="0"/>
        <v>ต้องปรับปรุงเร่งด่วน</v>
      </c>
      <c r="W7" s="287" t="str">
        <f t="shared" si="0"/>
        <v>ต้องปรับปรุงเร่งด่วน</v>
      </c>
      <c r="X7" s="288" t="str">
        <f t="shared" si="0"/>
        <v>ต้องปรับปรุงเร่งด่วน</v>
      </c>
      <c r="Y7" s="289" t="str">
        <f t="shared" si="0"/>
        <v>ต้องปรับปรุงเร่งด่วน</v>
      </c>
    </row>
    <row r="8" spans="1:25" ht="67.5">
      <c r="A8" s="33" t="s">
        <v>39</v>
      </c>
      <c r="B8" s="100">
        <f>('ป.1(สกอ)'!M22)/1</f>
        <v>0</v>
      </c>
      <c r="C8" s="111">
        <f>('ป.1(สกอ)'!N22)/1</f>
        <v>0</v>
      </c>
      <c r="D8" s="100">
        <f>('ป.1(สกอ)'!M12+'ป.1(สกอ)'!M14+'ป.1(สกอ)'!M21+'ป.1(สกอ)'!M31+'ป.1(สกอ)'!M39+'ป.1(สกอ)'!M41+'ป.1(สกอ)'!M43+'ป.1(สกอ)'!M44+'ป.1(สกอ)'!M48)/9</f>
        <v>0</v>
      </c>
      <c r="E8" s="100">
        <f>('ป.1(สกอ)'!M12+'ป.1(สกอ)'!M14+'ป.1(สกอ)'!M21+'ป.1(สกอ)'!M31+'ป.1(สกอ)'!M39+'ป.1(สกอ)'!M41+'ป.1(สกอ)'!M43+'ป.1(สกอ)'!M44+'ป.1(สกอ)'!M48)/9</f>
        <v>0</v>
      </c>
      <c r="F8" s="103">
        <f>SUM('ป.1(สมศ)'!N75)/1</f>
        <v>0</v>
      </c>
      <c r="G8" s="249">
        <f>SUM('ป.1(สกอ)'!N12,'ป.1(สกอ)'!N14,'ป.1(สกอ)'!N21,'ป.1(สกอ)'!N31,'ป.1(สกอ)'!N39,'ป.1(สกอ)'!N41,'ป.1(สกอ)'!N43,'ป.1(สกอ)'!N44,'ป.1(สกอ)'!N48)/9</f>
        <v>0</v>
      </c>
      <c r="H8" s="111">
        <f>('ป.1(สกอ)'!N12+'ป.1(สกอ)'!N14+'ป.1(สกอ)'!N21+'ป.1(สกอ)'!N31+'ป.1(สกอ)'!N39+'ป.1(สกอ)'!N41+'ป.1(สกอ)'!N43+'ป.1(สกอ)'!N44+'ป.1(สกอ)'!N48)/9</f>
        <v>0</v>
      </c>
      <c r="I8" s="103">
        <f>SUM('ป.1(สมศ)'!O75)/1</f>
        <v>0</v>
      </c>
      <c r="J8" s="100" t="s">
        <v>188</v>
      </c>
      <c r="K8" s="100">
        <f>SUM('ป.1(สมศ)'!N74,'ป.1(สมศ)'!N77,'ป.1(สมศ)'!N79,'ป.1(สมศ)'!N11)/4</f>
        <v>0</v>
      </c>
      <c r="L8" s="111" t="s">
        <v>188</v>
      </c>
      <c r="M8" s="103">
        <f>SUM('ป.1(สมศ)'!O74,'ป.1(สมศ)'!O77,'ป.1(สมศ)'!O79,'ป.1(สมศ)'!O11)/4</f>
        <v>0</v>
      </c>
      <c r="N8" s="101">
        <f>('ป.1(สกอ)'!M22+'ป.1(สกอ)'!M12+'ป.1(สกอ)'!M14+'ป.1(สกอ)'!M21+'ป.1(สกอ)'!M31+'ป.1(สกอ)'!M39+'ป.1(สกอ)'!M41+'ป.1(สกอ)'!M43+'ป.1(สกอ)'!M44+'ป.1(สกอ)'!M48)/10</f>
        <v>0</v>
      </c>
      <c r="O8" s="101">
        <f>('ป.1(สกอ)'!M22+'ป.1(สกอ)'!M12+'ป.1(สกอ)'!M14+'ป.1(สกอ)'!M21+'ป.1(สกอ)'!M31+'ป.1(สกอ)'!M39+'ป.1(สกอ)'!M41+'ป.1(สกอ)'!M43+'ป.1(สกอ)'!M44+'ป.1(สกอ)'!M48)/10</f>
        <v>0</v>
      </c>
      <c r="P8" s="101">
        <f>SUM('ป.1(สมศ)'!N75,'ป.1(สมศ)'!N74,'ป.1(สมศ)'!N77,'ป.1(สมศ)'!N79,'ป.1(สมศ)'!N11)/5</f>
        <v>0</v>
      </c>
      <c r="Q8" s="110">
        <f>('ป.1(สกอ)'!N22+'ป.1(สกอ)'!N12+'ป.1(สกอ)'!N14+'ป.1(สกอ)'!N21+'ป.1(สกอ)'!N31+'ป.1(สกอ)'!N39+'ป.1(สกอ)'!N41+'ป.1(สกอ)'!N43+'ป.1(สกอ)'!N44+'ป.1(สกอ)'!N48)/10</f>
        <v>0</v>
      </c>
      <c r="R8" s="110">
        <f>('ป.1(สกอ)'!N22+'ป.1(สกอ)'!N12+'ป.1(สกอ)'!N14+'ป.1(สกอ)'!N21+'ป.1(สกอ)'!N31+'ป.1(สกอ)'!N39+'ป.1(สกอ)'!N41+'ป.1(สกอ)'!N43+'ป.1(สกอ)'!N44+'ป.1(สกอ)'!N48)/10</f>
        <v>0</v>
      </c>
      <c r="S8" s="97">
        <f>SUM('ป.1(สมศ)'!O75,'ป.1(สมศ)'!O74,'ป.1(สมศ)'!O77,'ป.1(สมศ)'!O79,'ป.1(สมศ)'!O11)/5</f>
        <v>0</v>
      </c>
      <c r="T8" s="286" t="str">
        <f t="shared" si="0"/>
        <v>ต้องปรับปรุงเร่งด่วน</v>
      </c>
      <c r="U8" s="286" t="str">
        <f t="shared" si="0"/>
        <v>ต้องปรับปรุงเร่งด่วน</v>
      </c>
      <c r="V8" s="286" t="str">
        <f t="shared" si="0"/>
        <v>ต้องปรับปรุงเร่งด่วน</v>
      </c>
      <c r="W8" s="287" t="str">
        <f t="shared" si="0"/>
        <v>ต้องปรับปรุงเร่งด่วน</v>
      </c>
      <c r="X8" s="288" t="str">
        <f t="shared" si="0"/>
        <v>ต้องปรับปรุงเร่งด่วน</v>
      </c>
      <c r="Y8" s="289" t="str">
        <f t="shared" si="0"/>
        <v>ต้องปรับปรุงเร่งด่วน</v>
      </c>
    </row>
    <row r="9" spans="1:25" ht="65.25">
      <c r="A9" s="33" t="s">
        <v>40</v>
      </c>
      <c r="B9" s="100">
        <f>('ป.1(สกอ)'!M33)/1</f>
        <v>0</v>
      </c>
      <c r="C9" s="111">
        <f>('ป.1(สกอ)'!N33)/1</f>
        <v>0</v>
      </c>
      <c r="D9" s="100">
        <f>('ป.1(สกอ)'!M46)/1</f>
        <v>0</v>
      </c>
      <c r="E9" s="100">
        <f>('ป.1(สกอ)'!M46)/1</f>
        <v>0</v>
      </c>
      <c r="F9" s="103" t="s">
        <v>188</v>
      </c>
      <c r="G9" s="249">
        <f>SUM('ป.1(สกอ)'!N46)/1</f>
        <v>0</v>
      </c>
      <c r="H9" s="111">
        <f>('ป.1(สกอ)'!N46)/1</f>
        <v>0</v>
      </c>
      <c r="I9" s="103"/>
      <c r="J9" s="100" t="s">
        <v>188</v>
      </c>
      <c r="K9" s="100" t="s">
        <v>188</v>
      </c>
      <c r="L9" s="111" t="s">
        <v>188</v>
      </c>
      <c r="M9" s="103" t="s">
        <v>188</v>
      </c>
      <c r="N9" s="101">
        <f>('ป.1(สกอ)'!M33+'ป.1(สกอ)'!M46)/2</f>
        <v>0</v>
      </c>
      <c r="O9" s="101">
        <f>('ป.1(สกอ)'!M33+'ป.1(สกอ)'!M46)/2</f>
        <v>0</v>
      </c>
      <c r="P9" s="101" t="s">
        <v>188</v>
      </c>
      <c r="Q9" s="110">
        <f>('ป.1(สกอ)'!N33+'ป.1(สกอ)'!N46)/2</f>
        <v>0</v>
      </c>
      <c r="R9" s="110">
        <f>('ป.1(สกอ)'!N33+'ป.1(สกอ)'!N46)/2</f>
        <v>0</v>
      </c>
      <c r="S9" s="97" t="s">
        <v>188</v>
      </c>
      <c r="T9" s="286" t="str">
        <f>IF(N9&gt;=4.51,"ดีมาก",IF(N9&gt;=3.51,"ดี",IF(N9&gt;=2.51,"พอใช้",IF(N9&gt;=1.51,"ต้องปรับปรุง",IF(N9&lt;=1.5,"ต้องปรับปรุงเร่งด่วน")))))</f>
        <v>ต้องปรับปรุงเร่งด่วน</v>
      </c>
      <c r="U9" s="286" t="str">
        <f>IF(O9&gt;=4.51,"ดีมาก",IF(O9&gt;=3.51,"ดี",IF(O9&gt;=2.51,"พอใช้",IF(O9&gt;=1.51,"ต้องปรับปรุง",IF(O9&lt;=1.5,"ต้องปรับปรุงเร่งด่วน")))))</f>
        <v>ต้องปรับปรุงเร่งด่วน</v>
      </c>
      <c r="V9" s="286" t="s">
        <v>188</v>
      </c>
      <c r="W9" s="287" t="str">
        <f>IF(Q9&gt;=4.51,"ดีมาก",IF(Q9&gt;=3.51,"ดี",IF(Q9&gt;=2.51,"พอใช้",IF(Q9&gt;=1.51,"ต้องปรับปรุง",IF(Q9&lt;=1.5,"ต้องปรับปรุงเร่งด่วน")))))</f>
        <v>ต้องปรับปรุงเร่งด่วน</v>
      </c>
      <c r="X9" s="288" t="str">
        <f>IF(R9&gt;=4.51,"ดีมาก",IF(R9&gt;=3.51,"ดี",IF(R9&gt;=2.51,"พอใช้",IF(R9&gt;=1.51,"ต้องปรับปรุง",IF(R9&lt;=1.5,"ต้องปรับปรุงเร่งด่วน")))))</f>
        <v>ต้องปรับปรุงเร่งด่วน</v>
      </c>
      <c r="Y9" s="289" t="s">
        <v>188</v>
      </c>
    </row>
    <row r="10" spans="1:25" ht="67.5">
      <c r="A10" s="33" t="s">
        <v>41</v>
      </c>
      <c r="B10" s="100">
        <f>('ป.1(สกอ)'!M15+'ป.1(สกอ)'!M18)/2</f>
        <v>0</v>
      </c>
      <c r="C10" s="111">
        <f>('ป.1(สกอ)'!N15+'ป.1(สกอ)'!N18)/2</f>
        <v>0</v>
      </c>
      <c r="D10" s="100">
        <f>('ป.1(สกอ)'!M32+'ป.1(สกอ)'!M42)/2</f>
        <v>0</v>
      </c>
      <c r="E10" s="100">
        <f>('ป.1(สกอ)'!M32+'ป.1(สกอ)'!M42)/2</f>
        <v>0</v>
      </c>
      <c r="F10" s="103" t="s">
        <v>188</v>
      </c>
      <c r="G10" s="249">
        <f>SUM('ป.1(สกอ)'!N32+'ป.1(สกอ)'!N42)/2</f>
        <v>0</v>
      </c>
      <c r="H10" s="111">
        <f>('ป.1(สกอ)'!N32+'ป.1(สกอ)'!N42)/2</f>
        <v>0</v>
      </c>
      <c r="I10" s="103"/>
      <c r="J10" s="100" t="s">
        <v>188</v>
      </c>
      <c r="K10" s="100">
        <f>SUM('ป.1(สมศ)'!N43:N44,'ป.1(สมศ)'!N56:N57,'ป.1(สมศ)'!N58:N59,'ป.1(สมศ)'!N40:N41)/4</f>
        <v>0</v>
      </c>
      <c r="L10" s="111" t="s">
        <v>188</v>
      </c>
      <c r="M10" s="103">
        <f>SUM('ป.1(สมศ)'!O43:O44,'ป.1(สมศ)'!O56:O57,'ป.1(สมศ)'!O58:O59,'ป.1(สมศ)'!O40:O41)/4</f>
        <v>0</v>
      </c>
      <c r="N10" s="101">
        <f>('ป.1(สกอ)'!M15+'ป.1(สกอ)'!M18+'ป.1(สกอ)'!M32+'ป.1(สกอ)'!M42)/4</f>
        <v>0</v>
      </c>
      <c r="O10" s="101">
        <f>('ป.1(สกอ)'!M15+'ป.1(สกอ)'!M18+'ป.1(สกอ)'!M32+'ป.1(สกอ)'!M42)/4</f>
        <v>0</v>
      </c>
      <c r="P10" s="101">
        <f>SUM('ป.1(สมศ)'!N43:N44,'ป.1(สมศ)'!N56:N57,'ป.1(สมศ)'!N58:N59,'ป.1(สมศ)'!N40:N41)/4</f>
        <v>0</v>
      </c>
      <c r="Q10" s="110">
        <f>('ป.1(สกอ)'!N15+'ป.1(สกอ)'!N18+'ป.1(สกอ)'!N32+'ป.1(สกอ)'!N42)/4</f>
        <v>0</v>
      </c>
      <c r="R10" s="110">
        <f>('ป.1(สกอ)'!N15+'ป.1(สกอ)'!N18+'ป.1(สกอ)'!N32+'ป.1(สกอ)'!N42)/4</f>
        <v>0</v>
      </c>
      <c r="S10" s="97">
        <f>SUM('ป.1(สมศ)'!O43:O44,'ป.1(สมศ)'!O56:O57,'ป.1(สมศ)'!O58:O59,'ป.1(สมศ)'!O40:O41)/4</f>
        <v>0</v>
      </c>
      <c r="T10" s="286" t="str">
        <f>IF(N10&gt;=4.51,"ดีมาก",IF(N10&gt;=3.51,"ดี",IF(N10&gt;=2.51,"พอใช้",IF(N10&gt;=1.51,"ต้องปรับปรุง",IF(N10&lt;=1.5,"ต้องปรับปรุงเร่งด่วน")))))</f>
        <v>ต้องปรับปรุงเร่งด่วน</v>
      </c>
      <c r="U10" s="286" t="str">
        <f>IF(O10&gt;=4.51,"ดีมาก",IF(O10&gt;=3.51,"ดี",IF(O10&gt;=2.51,"พอใช้",IF(O10&gt;=1.51,"ต้องปรับปรุง",IF(O10&lt;=1.5,"ต้องปรับปรุงเร่งด่วน")))))</f>
        <v>ต้องปรับปรุงเร่งด่วน</v>
      </c>
      <c r="V10" s="286" t="str">
        <f>IF(P10&gt;=4.51,"ดีมาก",IF(P10&gt;=3.51,"ดี",IF(P10&gt;=2.51,"พอใช้",IF(P10&gt;=1.51,"ต้องปรับปรุง",IF(P10&lt;=1.5,"ต้องปรับปรุงเร่งด่วน")))))</f>
        <v>ต้องปรับปรุงเร่งด่วน</v>
      </c>
      <c r="W10" s="287" t="str">
        <f>IF(Q10&gt;=4.51,"ดีมาก",IF(Q10&gt;=3.51,"ดี",IF(Q10&gt;=2.51,"พอใช้",IF(Q10&gt;=1.51,"ต้องปรับปรุง",IF(Q10&lt;=1.5,"ต้องปรับปรุงเร่งด่วน")))))</f>
        <v>ต้องปรับปรุงเร่งด่วน</v>
      </c>
      <c r="X10" s="288" t="str">
        <f>IF(R10&gt;=4.51,"ดีมาก",IF(R10&gt;=3.51,"ดี",IF(R10&gt;=2.51,"พอใช้",IF(R10&gt;=1.51,"ต้องปรับปรุง",IF(R10&lt;=1.5,"ต้องปรับปรุงเร่งด่วน")))))</f>
        <v>ต้องปรับปรุงเร่งด่วน</v>
      </c>
      <c r="Y10" s="289" t="str">
        <f>IF(S10&gt;=4.51,"ดีมาก",IF(S10&gt;=3.51,"ดี",IF(S10&gt;=2.51,"พอใช้",IF(S10&gt;=1.51,"ต้องปรับปรุง",IF(S10&lt;=1.5,"ต้องปรับปรุงเร่งด่วน")))))</f>
        <v>ต้องปรับปรุงเร่งด่วน</v>
      </c>
    </row>
    <row r="11" spans="1:25" ht="69.75">
      <c r="A11" s="96" t="s">
        <v>142</v>
      </c>
      <c r="B11" s="94">
        <f>('ป.1(สกอ)'!M22+'ป.1(สกอ)'!M33+'ป.1(สกอ)'!M15+'ป.1(สกอ)'!M18)/4</f>
        <v>0</v>
      </c>
      <c r="C11" s="110">
        <f>('ป.1(สกอ)'!N22+'ป.1(สกอ)'!N33+'ป.1(สกอ)'!N15+'ป.1(สกอ)'!N18)/4</f>
        <v>0</v>
      </c>
      <c r="D11" s="94">
        <f>SUM('ป.1(สกอ)'!M23+'ป.1(สกอ)'!M24+'ป.1(สกอ)'!M27+'ป.1(สกอ)'!M28+'ป.1(สกอ)'!M29+'ป.1(สกอ)'!M36+'ป.1(สกอ)'!M37+'ป.1(สกอ)'!M12+'ป.1(สกอ)'!M14+'ป.1(สกอ)'!M21+'ป.1(สกอ)'!M31+'ป.1(สกอ)'!M39+'ป.1(สกอ)'!M41+'ป.1(สกอ)'!M43+'ป.1(สกอ)'!M44+'ป.1(สกอ)'!M48+'ป.1(สกอ)'!M46+'ป.1(สกอ)'!M32+'ป.1(สกอ)'!M42)/19</f>
        <v>0</v>
      </c>
      <c r="E11" s="94">
        <f>('ป.1(สกอ)'!M23+'ป.1(สกอ)'!M24+'ป.1(สกอ)'!M27+'ป.1(สกอ)'!M28+'ป.1(สกอ)'!M36+'ป.1(สกอ)'!M37+'ป.1(สกอ)'!M12+'ป.1(สกอ)'!M14+'ป.1(สกอ)'!M21+'ป.1(สกอ)'!M31+'ป.1(สกอ)'!M39+'ป.1(สกอ)'!M41+'ป.1(สกอ)'!M43+'ป.1(สกอ)'!M44+'ป.1(สกอ)'!M48+'ป.1(สกอ)'!M46+'ป.1(สกอ)'!M32+'ป.1(สกอ)'!M42)/18</f>
        <v>0</v>
      </c>
      <c r="F11" s="97">
        <f>SUM('ป.1(สมศ)'!N75)/1</f>
        <v>0</v>
      </c>
      <c r="G11" s="248">
        <f>SUM('ป.1(สกอ)'!N23,'ป.1(สกอ)'!N24,'ป.1(สกอ)'!N27,'ป.1(สกอ)'!N28,'ป.1(สกอ)'!N29,'ป.1(สกอ)'!N36,'ป.1(สกอ)'!N37,'ป.1(สกอ)'!N12,'ป.1(สกอ)'!N14,'ป.1(สกอ)'!N21,'ป.1(สกอ)'!N31,'ป.1(สกอ)'!N39,'ป.1(สกอ)'!N41,'ป.1(สกอ)'!N43,'ป.1(สกอ)'!N44,'ป.1(สกอ)'!N48,'ป.1(สกอ)'!N46,'ป.1(สกอ)'!N32+'ป.1(สกอ)'!N42)/19</f>
        <v>0</v>
      </c>
      <c r="H11" s="110">
        <f>('ป.1(สกอ)'!N23+'ป.1(สกอ)'!N24+'ป.1(สกอ)'!N27+'ป.1(สกอ)'!N28+'ป.1(สกอ)'!N36+'ป.1(สกอ)'!N37+'ป.1(สกอ)'!N12+'ป.1(สกอ)'!N14+'ป.1(สกอ)'!N21+'ป.1(สกอ)'!N31+'ป.1(สกอ)'!N39+'ป.1(สกอ)'!N41+'ป.1(สกอ)'!N43+'ป.1(สกอ)'!N44+'ป.1(สกอ)'!N48+'ป.1(สกอ)'!N46+'ป.1(สกอ)'!N32+'ป.1(สกอ)'!N42)/18</f>
        <v>0</v>
      </c>
      <c r="I11" s="97">
        <f>SUM('ป.1(สมศ)'!O75)/1</f>
        <v>0</v>
      </c>
      <c r="J11" s="94">
        <f>('ป.1(สกอ)'!M25)/1</f>
        <v>0</v>
      </c>
      <c r="K11" s="94">
        <f>SUM('ป.1(สมศ)'!N13:N14,'ป.1(สมศ)'!N17:N18,'ป.1(สมศ)'!N19:N20,'ป.1(สมศ)'!N32:N33,'ป.1(สมศ)'!N65,'ป.1(สมศ)'!N71,'ป.1(สมศ)'!N72,'ป.1(สมศ)'!N74,'ป.1(สมศ)'!N77,'ป.1(สมศ)'!N79,'ป.1(สมศ)'!N11,'ป.1(สมศ)'!N43:N44,'ป.1(สมศ)'!N56:N57,'ป.1(สมศ)'!N58:N59,'ป.1(สมศ)'!N40:N41)/15</f>
        <v>0</v>
      </c>
      <c r="L11" s="110">
        <f>('ป.1(สกอ)'!N25)/1</f>
        <v>0</v>
      </c>
      <c r="M11" s="97">
        <f>SUM('ป.1(สมศ)'!O13:O14,'ป.1(สมศ)'!O17:O17,'ป.1(สมศ)'!O19:O20,'ป.1(สมศ)'!O32:O33,'ป.1(สมศ)'!O65,'ป.1(สมศ)'!O71,'ป.1(สมศ)'!O72,'ป.1(สมศ)'!O74,'ป.1(สมศ)'!O77,'ป.1(สมศ)'!O79,'ป.1(สมศ)'!O11,'ป.1(สมศ)'!O43:O44,'ป.1(สมศ)'!O56:O57,'ป.1(สมศ)'!O58:O59,'ป.1(สมศ)'!O40:O41)/15</f>
        <v>0</v>
      </c>
      <c r="N11" s="94">
        <f>('ป.1(สกอ)'!M23+'ป.1(สกอ)'!M24+'ป.1(สกอ)'!M27+'ป.1(สกอ)'!M28+'ป.1(สกอ)'!M29+'ป.1(สกอ)'!M36+'ป.1(สกอ)'!M37+'ป.1(สกอ)'!M25+'ป.1(สกอ)'!M22+'ป.1(สกอ)'!M12+'ป.1(สกอ)'!M14+'ป.1(สกอ)'!M21+'ป.1(สกอ)'!M31+'ป.1(สกอ)'!M39+'ป.1(สกอ)'!M41+'ป.1(สกอ)'!M43+'ป.1(สกอ)'!M44+'ป.1(สกอ)'!M48+'ป.1(สกอ)'!M33+'ป.1(สกอ)'!M46+'ป.1(สกอ)'!M15+'ป.1(สกอ)'!M18+'ป.1(สกอ)'!M32+'ป.1(สกอ)'!M42)/24</f>
        <v>0</v>
      </c>
      <c r="O11" s="94">
        <f>('ป.1(สกอ)'!M23+'ป.1(สกอ)'!M24+'ป.1(สกอ)'!M27+'ป.1(สกอ)'!M28+'ป.1(สกอ)'!M36+'ป.1(สกอ)'!M37+'ป.1(สกอ)'!M25+'ป.1(สกอ)'!M22+'ป.1(สกอ)'!M12+'ป.1(สกอ)'!M14+'ป.1(สกอ)'!M21+'ป.1(สกอ)'!M31+'ป.1(สกอ)'!M39+'ป.1(สกอ)'!M41+'ป.1(สกอ)'!M43+'ป.1(สกอ)'!M44+'ป.1(สกอ)'!M48+'ป.1(สกอ)'!M33+'ป.1(สกอ)'!M46+'ป.1(สกอ)'!M15+'ป.1(สกอ)'!M18+'ป.1(สกอ)'!M32+'ป.1(สกอ)'!M42)/23</f>
        <v>0</v>
      </c>
      <c r="P11" s="94">
        <f>SUM('ป.1(สมศ)'!N13:N14,'ป.1(สมศ)'!N17:N17,'ป.1(สมศ)'!N19:N20,'ป.1(สมศ)'!N32:N33,'ป.1(สมศ)'!N65,'ป.1(สมศ)'!N71,'ป.1(สมศ)'!N72,'ป.1(สมศ)'!N75,'ป.1(สมศ)'!N74,'ป.1(สมศ)'!N77,'ป.1(สมศ)'!N79,'ป.1(สมศ)'!N11,'ป.1(สมศ)'!N43:N44,'ป.1(สมศ)'!N56:N57,'ป.1(สมศ)'!N58:N59,'ป.1(สมศ)'!N40:N41)/16</f>
        <v>0</v>
      </c>
      <c r="Q11" s="110">
        <f>('ป.1(สกอ)'!N23+'ป.1(สกอ)'!N24+'ป.1(สกอ)'!N27+'ป.1(สกอ)'!N28+'ป.1(สกอ)'!N29+'ป.1(สกอ)'!N36+'ป.1(สกอ)'!N37+'ป.1(สกอ)'!N25+'ป.1(สกอ)'!N22+'ป.1(สกอ)'!N12+'ป.1(สกอ)'!N14+'ป.1(สกอ)'!N21+'ป.1(สกอ)'!N31+'ป.1(สกอ)'!N39+'ป.1(สกอ)'!N41+'ป.1(สกอ)'!N43+'ป.1(สกอ)'!N44+'ป.1(สกอ)'!N48+'ป.1(สกอ)'!N33+'ป.1(สกอ)'!N46+'ป.1(สกอ)'!N15+'ป.1(สกอ)'!N18+'ป.1(สกอ)'!N32+'ป.1(สกอ)'!N42)/24</f>
        <v>0</v>
      </c>
      <c r="R11" s="110">
        <f>('ป.1(สกอ)'!N23+'ป.1(สกอ)'!N24+'ป.1(สกอ)'!N27+'ป.1(สกอ)'!N28+'ป.1(สกอ)'!N36+'ป.1(สกอ)'!N37+'ป.1(สกอ)'!N25+'ป.1(สกอ)'!N22+'ป.1(สกอ)'!N12+'ป.1(สกอ)'!N14+'ป.1(สกอ)'!N21+'ป.1(สกอ)'!N31+'ป.1(สกอ)'!N39+'ป.1(สกอ)'!N41+'ป.1(สกอ)'!N43+'ป.1(สกอ)'!N44+'ป.1(สกอ)'!N48+'ป.1(สกอ)'!N33+'ป.1(สกอ)'!N46+'ป.1(สกอ)'!N15+'ป.1(สกอ)'!N18+'ป.1(สกอ)'!N32+'ป.1(สกอ)'!N42)/23</f>
        <v>0</v>
      </c>
      <c r="S11" s="97">
        <f>SUM('ป.1(สมศ)'!O13:O14,'ป.1(สมศ)'!O17:O17,'ป.1(สมศ)'!O19:O20,'ป.1(สมศ)'!O32:O33,'ป.1(สมศ)'!O65,'ป.1(สมศ)'!O71,'ป.1(สมศ)'!O72,'ป.1(สมศ)'!O75,'ป.1(สมศ)'!O74,'ป.1(สมศ)'!O77,'ป.1(สมศ)'!O79,'ป.1(สมศ)'!O11,'ป.1(สมศ)'!O43:O44,'ป.1(สมศ)'!O56:O57,'ป.1(สมศ)'!O58:O59,'ป.1(สมศ)'!O40:O41)/16</f>
        <v>0</v>
      </c>
      <c r="T11" s="246"/>
      <c r="U11" s="41"/>
      <c r="V11" s="41"/>
      <c r="W11" s="41"/>
      <c r="X11" s="41"/>
      <c r="Y11" s="41"/>
    </row>
    <row r="12" spans="1:25" ht="84">
      <c r="A12" s="32" t="s">
        <v>141</v>
      </c>
      <c r="B12" s="285" t="str">
        <f>IF(B11&gt;=4.51,"ดีมาก",IF(B11&gt;=3.51,"ดี",IF(B11&gt;=2.51,"พอใช้",IF(B11&gt;=1.51,"ต้องปรับปรุง",IF(B11&lt;=1.5,"ต้องปรับปรุงเร่งด่วน")))))</f>
        <v>ต้องปรับปรุงเร่งด่วน</v>
      </c>
      <c r="C12" s="285" t="str">
        <f aca="true" t="shared" si="1" ref="C12:S12">IF(C11&gt;=4.51,"ดีมาก",IF(C11&gt;=3.51,"ดี",IF(C11&gt;=2.51,"พอใช้",IF(C11&gt;=1.51,"ต้องปรับปรุง",IF(C11&lt;=1.5,"ต้องปรับปรุงเร่งด่วน")))))</f>
        <v>ต้องปรับปรุงเร่งด่วน</v>
      </c>
      <c r="D12" s="285" t="str">
        <f t="shared" si="1"/>
        <v>ต้องปรับปรุงเร่งด่วน</v>
      </c>
      <c r="E12" s="285" t="str">
        <f t="shared" si="1"/>
        <v>ต้องปรับปรุงเร่งด่วน</v>
      </c>
      <c r="F12" s="285" t="str">
        <f t="shared" si="1"/>
        <v>ต้องปรับปรุงเร่งด่วน</v>
      </c>
      <c r="G12" s="285" t="str">
        <f t="shared" si="1"/>
        <v>ต้องปรับปรุงเร่งด่วน</v>
      </c>
      <c r="H12" s="285" t="str">
        <f t="shared" si="1"/>
        <v>ต้องปรับปรุงเร่งด่วน</v>
      </c>
      <c r="I12" s="285" t="str">
        <f t="shared" si="1"/>
        <v>ต้องปรับปรุงเร่งด่วน</v>
      </c>
      <c r="J12" s="285" t="str">
        <f t="shared" si="1"/>
        <v>ต้องปรับปรุงเร่งด่วน</v>
      </c>
      <c r="K12" s="285" t="str">
        <f t="shared" si="1"/>
        <v>ต้องปรับปรุงเร่งด่วน</v>
      </c>
      <c r="L12" s="285" t="str">
        <f t="shared" si="1"/>
        <v>ต้องปรับปรุงเร่งด่วน</v>
      </c>
      <c r="M12" s="285" t="str">
        <f t="shared" si="1"/>
        <v>ต้องปรับปรุงเร่งด่วน</v>
      </c>
      <c r="N12" s="285" t="str">
        <f t="shared" si="1"/>
        <v>ต้องปรับปรุงเร่งด่วน</v>
      </c>
      <c r="O12" s="285" t="str">
        <f t="shared" si="1"/>
        <v>ต้องปรับปรุงเร่งด่วน</v>
      </c>
      <c r="P12" s="285" t="str">
        <f t="shared" si="1"/>
        <v>ต้องปรับปรุงเร่งด่วน</v>
      </c>
      <c r="Q12" s="285" t="str">
        <f t="shared" si="1"/>
        <v>ต้องปรับปรุงเร่งด่วน</v>
      </c>
      <c r="R12" s="285" t="str">
        <f t="shared" si="1"/>
        <v>ต้องปรับปรุงเร่งด่วน</v>
      </c>
      <c r="S12" s="285" t="str">
        <f t="shared" si="1"/>
        <v>ต้องปรับปรุงเร่งด่วน</v>
      </c>
      <c r="T12" s="247"/>
      <c r="U12" s="36"/>
      <c r="V12" s="36"/>
      <c r="W12" s="36"/>
      <c r="X12" s="36"/>
      <c r="Y12" s="36"/>
    </row>
    <row r="13" ht="22.5">
      <c r="AA13" s="38"/>
    </row>
    <row r="14" ht="22.5">
      <c r="AA14" s="38"/>
    </row>
    <row r="15" ht="22.5">
      <c r="AA15" s="38"/>
    </row>
    <row r="16" spans="26:27" ht="22.5">
      <c r="Z16" s="37"/>
      <c r="AA16" s="38"/>
    </row>
    <row r="17" spans="5:27" ht="22.5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7"/>
    </row>
    <row r="18" spans="5:26" ht="22.5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21:25" ht="22.5">
      <c r="U19" s="27"/>
      <c r="V19" s="27"/>
      <c r="W19" s="27"/>
      <c r="X19" s="27"/>
      <c r="Y19" s="27"/>
    </row>
    <row r="20" spans="21:25" ht="22.5">
      <c r="U20" s="27"/>
      <c r="V20" s="27"/>
      <c r="W20" s="27"/>
      <c r="X20" s="27"/>
      <c r="Y20" s="27"/>
    </row>
  </sheetData>
  <sheetProtection/>
  <mergeCells count="17">
    <mergeCell ref="Q5:S5"/>
    <mergeCell ref="N5:P5"/>
    <mergeCell ref="N4:S4"/>
    <mergeCell ref="B3:S3"/>
    <mergeCell ref="D5:F5"/>
    <mergeCell ref="G5:I5"/>
    <mergeCell ref="D4:I4"/>
    <mergeCell ref="A1:Y1"/>
    <mergeCell ref="A2:Y2"/>
    <mergeCell ref="A3:A6"/>
    <mergeCell ref="J5:K5"/>
    <mergeCell ref="L5:M5"/>
    <mergeCell ref="B4:C4"/>
    <mergeCell ref="J4:M4"/>
    <mergeCell ref="T5:V5"/>
    <mergeCell ref="W5:Y5"/>
    <mergeCell ref="T3:Y4"/>
  </mergeCells>
  <printOptions/>
  <pageMargins left="0.15748031496062992" right="0.15748031496062992" top="0.4724409448818898" bottom="0.3937007874015748" header="0.2362204724409449" footer="0.1968503937007874"/>
  <pageSetup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zoomScale="56" zoomScaleNormal="56" zoomScalePageLayoutView="0" workbookViewId="0" topLeftCell="A8">
      <selection activeCell="P18" sqref="P18"/>
    </sheetView>
  </sheetViews>
  <sheetFormatPr defaultColWidth="9.140625" defaultRowHeight="12.75"/>
  <cols>
    <col min="1" max="1" width="20.8515625" style="27" customWidth="1"/>
    <col min="2" max="2" width="9.8515625" style="37" customWidth="1"/>
    <col min="3" max="3" width="9.140625" style="37" bestFit="1" customWidth="1"/>
    <col min="4" max="4" width="9.28125" style="37" bestFit="1" customWidth="1"/>
    <col min="5" max="7" width="9.57421875" style="37" customWidth="1"/>
    <col min="8" max="8" width="9.00390625" style="37" customWidth="1"/>
    <col min="9" max="9" width="8.8515625" style="37" customWidth="1"/>
    <col min="10" max="10" width="9.421875" style="37" customWidth="1"/>
    <col min="11" max="11" width="9.00390625" style="37" customWidth="1"/>
    <col min="12" max="12" width="8.421875" style="37" customWidth="1"/>
    <col min="13" max="13" width="8.7109375" style="37" customWidth="1"/>
    <col min="14" max="14" width="9.00390625" style="37" customWidth="1"/>
    <col min="15" max="15" width="8.57421875" style="37" customWidth="1"/>
    <col min="16" max="16" width="9.00390625" style="37" customWidth="1"/>
    <col min="17" max="17" width="9.28125" style="37" bestFit="1" customWidth="1"/>
    <col min="18" max="18" width="8.7109375" style="37" customWidth="1"/>
    <col min="19" max="19" width="9.421875" style="37" customWidth="1"/>
    <col min="20" max="20" width="9.57421875" style="37" customWidth="1"/>
    <col min="21" max="21" width="9.28125" style="37" customWidth="1"/>
    <col min="22" max="22" width="9.8515625" style="37" customWidth="1"/>
    <col min="23" max="23" width="9.7109375" style="37" customWidth="1"/>
    <col min="24" max="24" width="9.421875" style="37" customWidth="1"/>
    <col min="25" max="25" width="10.28125" style="37" customWidth="1"/>
    <col min="26" max="16384" width="9.140625" style="27" customWidth="1"/>
  </cols>
  <sheetData>
    <row r="1" spans="1:25" ht="26.25">
      <c r="A1" s="464" t="s">
        <v>233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5" ht="26.25">
      <c r="A2" s="465" t="s">
        <v>33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3" spans="1:25" ht="23.25">
      <c r="A3" s="467" t="s">
        <v>202</v>
      </c>
      <c r="B3" s="472" t="s">
        <v>517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4"/>
      <c r="T3" s="458" t="s">
        <v>28</v>
      </c>
      <c r="U3" s="459"/>
      <c r="V3" s="459"/>
      <c r="W3" s="459"/>
      <c r="X3" s="459"/>
      <c r="Y3" s="460"/>
    </row>
    <row r="4" spans="1:25" ht="23.25">
      <c r="A4" s="468"/>
      <c r="B4" s="472" t="s">
        <v>29</v>
      </c>
      <c r="C4" s="473"/>
      <c r="D4" s="472" t="s">
        <v>30</v>
      </c>
      <c r="E4" s="473"/>
      <c r="F4" s="473"/>
      <c r="G4" s="473"/>
      <c r="H4" s="473"/>
      <c r="I4" s="474"/>
      <c r="J4" s="472" t="s">
        <v>31</v>
      </c>
      <c r="K4" s="473"/>
      <c r="L4" s="473"/>
      <c r="M4" s="474"/>
      <c r="N4" s="472" t="s">
        <v>32</v>
      </c>
      <c r="O4" s="473"/>
      <c r="P4" s="473"/>
      <c r="Q4" s="473"/>
      <c r="R4" s="473"/>
      <c r="S4" s="474"/>
      <c r="T4" s="461"/>
      <c r="U4" s="462"/>
      <c r="V4" s="462"/>
      <c r="W4" s="462"/>
      <c r="X4" s="462"/>
      <c r="Y4" s="463"/>
    </row>
    <row r="5" spans="1:25" ht="22.5">
      <c r="A5" s="468"/>
      <c r="B5" s="118" t="s">
        <v>12</v>
      </c>
      <c r="C5" s="118" t="s">
        <v>13</v>
      </c>
      <c r="D5" s="470" t="s">
        <v>12</v>
      </c>
      <c r="E5" s="475"/>
      <c r="F5" s="471"/>
      <c r="G5" s="470" t="s">
        <v>13</v>
      </c>
      <c r="H5" s="475"/>
      <c r="I5" s="471"/>
      <c r="J5" s="470" t="s">
        <v>12</v>
      </c>
      <c r="K5" s="471"/>
      <c r="L5" s="470" t="s">
        <v>13</v>
      </c>
      <c r="M5" s="471"/>
      <c r="N5" s="470" t="s">
        <v>12</v>
      </c>
      <c r="O5" s="475"/>
      <c r="P5" s="471"/>
      <c r="Q5" s="470" t="s">
        <v>13</v>
      </c>
      <c r="R5" s="475"/>
      <c r="S5" s="471"/>
      <c r="T5" s="470" t="s">
        <v>12</v>
      </c>
      <c r="U5" s="475"/>
      <c r="V5" s="471"/>
      <c r="W5" s="470" t="s">
        <v>13</v>
      </c>
      <c r="X5" s="475"/>
      <c r="Y5" s="471"/>
    </row>
    <row r="6" spans="1:25" ht="42">
      <c r="A6" s="469"/>
      <c r="B6" s="119" t="s">
        <v>186</v>
      </c>
      <c r="C6" s="119" t="s">
        <v>186</v>
      </c>
      <c r="D6" s="221" t="s">
        <v>518</v>
      </c>
      <c r="E6" s="119" t="s">
        <v>186</v>
      </c>
      <c r="F6" s="221" t="s">
        <v>187</v>
      </c>
      <c r="G6" s="221" t="s">
        <v>518</v>
      </c>
      <c r="H6" s="119" t="s">
        <v>186</v>
      </c>
      <c r="I6" s="221" t="s">
        <v>187</v>
      </c>
      <c r="J6" s="119" t="s">
        <v>186</v>
      </c>
      <c r="K6" s="119" t="s">
        <v>187</v>
      </c>
      <c r="L6" s="119" t="s">
        <v>186</v>
      </c>
      <c r="M6" s="119" t="s">
        <v>187</v>
      </c>
      <c r="N6" s="221" t="s">
        <v>518</v>
      </c>
      <c r="O6" s="119" t="s">
        <v>186</v>
      </c>
      <c r="P6" s="119" t="s">
        <v>187</v>
      </c>
      <c r="Q6" s="221" t="s">
        <v>518</v>
      </c>
      <c r="R6" s="119" t="s">
        <v>186</v>
      </c>
      <c r="S6" s="119" t="s">
        <v>187</v>
      </c>
      <c r="T6" s="221" t="s">
        <v>518</v>
      </c>
      <c r="U6" s="119" t="s">
        <v>186</v>
      </c>
      <c r="V6" s="119" t="s">
        <v>187</v>
      </c>
      <c r="W6" s="221" t="s">
        <v>518</v>
      </c>
      <c r="X6" s="119" t="s">
        <v>186</v>
      </c>
      <c r="Y6" s="119" t="s">
        <v>187</v>
      </c>
    </row>
    <row r="7" spans="1:25" ht="93">
      <c r="A7" s="29" t="s">
        <v>203</v>
      </c>
      <c r="B7" s="120">
        <f>('ป.1(สกอ)'!M22+'ป.1(สกอ)'!M15+'ป.1(สกอ)'!M18)/3</f>
        <v>0</v>
      </c>
      <c r="C7" s="94">
        <f>('ป.1(สกอ)'!N22+'ป.1(สกอ)'!N15+'ป.1(สกอ)'!N18)/3</f>
        <v>0</v>
      </c>
      <c r="D7" s="31">
        <f>('ป.1(สกอ)'!M14+'ป.1(สกอ)'!M21+'ป.1(สกอ)'!M23+'ป.1(สกอ)'!M46+'ป.1(สกอ)'!M12+'ป.1(สกอ)'!M41+'ป.1(สกอ)'!M42+'ป.1(สกอ)'!M43+'ป.1(สกอ)'!M44+'ป.1(สกอ)'!M48)/10</f>
        <v>0</v>
      </c>
      <c r="E7" s="31">
        <f>('ป.1(สกอ)'!M14+'ป.1(สกอ)'!M21+'ป.1(สกอ)'!M23+'ป.1(สกอ)'!M46+'ป.1(สกอ)'!M12+'ป.1(สกอ)'!M41+'ป.1(สกอ)'!M42+'ป.1(สกอ)'!M43+'ป.1(สกอ)'!M44+'ป.1(สกอ)'!M48)/10</f>
        <v>0</v>
      </c>
      <c r="F7" s="31" t="s">
        <v>188</v>
      </c>
      <c r="G7" s="248">
        <f>('ป.1(สกอ)'!N14+'ป.1(สกอ)'!N21+'ป.1(สกอ)'!N23+'ป.1(สกอ)'!N46+'ป.1(สกอ)'!N12+'ป.1(สกอ)'!N41+'ป.1(สกอ)'!N42+'ป.1(สกอ)'!N43+'ป.1(สกอ)'!N44+'ป.1(สกอ)'!N48)/10</f>
        <v>0</v>
      </c>
      <c r="H7" s="94">
        <f>('ป.1(สกอ)'!N14+'ป.1(สกอ)'!N21+'ป.1(สกอ)'!N23+'ป.1(สกอ)'!N46+'ป.1(สกอ)'!N12+'ป.1(สกอ)'!N41+'ป.1(สกอ)'!N42+'ป.1(สกอ)'!N43+'ป.1(สกอ)'!N44+'ป.1(สกอ)'!N48)/10</f>
        <v>0</v>
      </c>
      <c r="I7" s="97" t="s">
        <v>188</v>
      </c>
      <c r="J7" s="31" t="s">
        <v>188</v>
      </c>
      <c r="K7" s="31">
        <f>SUM('ป.1(สมศ)'!N40:N41,'ป.1(สมศ)'!N11,'ป.1(สมศ)'!N77,'ป.1(สมศ)'!N79)/4</f>
        <v>0</v>
      </c>
      <c r="L7" s="94" t="s">
        <v>188</v>
      </c>
      <c r="M7" s="97">
        <f>SUM('ป.1(สมศ)'!O40:O41,'ป.1(สมศ)'!O11,'ป.1(สมศ)'!O77,'ป.1(สมศ)'!O79)/4</f>
        <v>0</v>
      </c>
      <c r="N7" s="31">
        <f>('ป.1(สกอ)'!M22+'ป.1(สกอ)'!M15+'ป.1(สกอ)'!M18+'ป.1(สกอ)'!M14+'ป.1(สกอ)'!M21+'ป.1(สกอ)'!M23+'ป.1(สกอ)'!M46+'ป.1(สกอ)'!M12+'ป.1(สกอ)'!M41+'ป.1(สกอ)'!M42+'ป.1(สกอ)'!M43+'ป.1(สกอ)'!M44+'ป.1(สกอ)'!M48)/13</f>
        <v>0</v>
      </c>
      <c r="O7" s="31">
        <f>('ป.1(สกอ)'!M22+'ป.1(สกอ)'!M15+'ป.1(สกอ)'!M18+'ป.1(สกอ)'!M14+'ป.1(สกอ)'!M21+'ป.1(สกอ)'!M23+'ป.1(สกอ)'!M46+'ป.1(สกอ)'!M12+'ป.1(สกอ)'!M41+'ป.1(สกอ)'!M42+'ป.1(สกอ)'!M43+'ป.1(สกอ)'!M44+'ป.1(สกอ)'!M48)/13</f>
        <v>0</v>
      </c>
      <c r="P7" s="31">
        <f>SUM('ป.1(สมศ)'!N40:N41,'ป.1(สมศ)'!N11,'ป.1(สมศ)'!N77,'ป.1(สมศ)'!N79)/4</f>
        <v>0</v>
      </c>
      <c r="Q7" s="248">
        <f>('ป.1(สกอ)'!N22+'ป.1(สกอ)'!N15+'ป.1(สกอ)'!N18+'ป.1(สกอ)'!M14+'ป.1(สกอ)'!N21+'ป.1(สกอ)'!N23+'ป.1(สกอ)'!N46+'ป.1(สกอ)'!N12+'ป.1(สกอ)'!N41+'ป.1(สกอ)'!N42+'ป.1(สกอ)'!N43+'ป.1(สกอ)'!N44+'ป.1(สกอ)'!N48)/13</f>
        <v>0</v>
      </c>
      <c r="R7" s="94">
        <f>('ป.1(สกอ)'!N22+'ป.1(สกอ)'!N15+'ป.1(สกอ)'!N18+'ป.1(สกอ)'!N14+'ป.1(สกอ)'!N21+'ป.1(สกอ)'!N23+'ป.1(สกอ)'!N46+'ป.1(สกอ)'!N12+'ป.1(สกอ)'!N41+'ป.1(สกอ)'!N42+'ป.1(สกอ)'!N43+'ป.1(สกอ)'!N44+'ป.1(สกอ)'!N48)/13</f>
        <v>0</v>
      </c>
      <c r="S7" s="97">
        <f>SUM('ป.1(สมศ)'!O40:O41,'ป.1(สมศ)'!O11,'ป.1(สมศ)'!O77,'ป.1(สมศ)'!O79)/4</f>
        <v>0</v>
      </c>
      <c r="T7" s="99" t="str">
        <f aca="true" t="shared" si="0" ref="T7:Y7">IF(N7&gt;=4.51,"ดีมาก",IF(N7&gt;=3.51,"ดี",IF(N7&gt;=2.51,"พอใช้",IF(N7&gt;=1.51,"ต้องปรับปรุง",IF(N7&lt;=1.5,"ต้องปรับปรุงเร่งด่วน")))))</f>
        <v>ต้องปรับปรุงเร่งด่วน</v>
      </c>
      <c r="U7" s="99" t="str">
        <f t="shared" si="0"/>
        <v>ต้องปรับปรุงเร่งด่วน</v>
      </c>
      <c r="V7" s="107" t="str">
        <f t="shared" si="0"/>
        <v>ต้องปรับปรุงเร่งด่วน</v>
      </c>
      <c r="W7" s="251" t="str">
        <f t="shared" si="0"/>
        <v>ต้องปรับปรุงเร่งด่วน</v>
      </c>
      <c r="X7" s="250" t="str">
        <f t="shared" si="0"/>
        <v>ต้องปรับปรุงเร่งด่วน</v>
      </c>
      <c r="Y7" s="102" t="str">
        <f t="shared" si="0"/>
        <v>ต้องปรับปรุงเร่งด่วน</v>
      </c>
    </row>
    <row r="8" spans="1:25" ht="67.5">
      <c r="A8" s="33" t="s">
        <v>204</v>
      </c>
      <c r="B8" s="40">
        <f>'ป.1(สกอ)'!M22/1</f>
        <v>0</v>
      </c>
      <c r="C8" s="131">
        <f>'ป.1(สกอ)'!N22/1</f>
        <v>0</v>
      </c>
      <c r="D8" s="30" t="s">
        <v>188</v>
      </c>
      <c r="E8" s="30" t="s">
        <v>188</v>
      </c>
      <c r="F8" s="30" t="s">
        <v>188</v>
      </c>
      <c r="G8" s="249" t="s">
        <v>188</v>
      </c>
      <c r="H8" s="131" t="s">
        <v>188</v>
      </c>
      <c r="I8" s="103" t="s">
        <v>188</v>
      </c>
      <c r="J8" s="30" t="s">
        <v>188</v>
      </c>
      <c r="K8" s="30" t="s">
        <v>188</v>
      </c>
      <c r="L8" s="131" t="s">
        <v>188</v>
      </c>
      <c r="M8" s="103" t="s">
        <v>188</v>
      </c>
      <c r="N8" s="31">
        <f>'ป.1(สกอ)'!M22/1</f>
        <v>0</v>
      </c>
      <c r="O8" s="31">
        <f>'ป.1(สกอ)'!M22/1</f>
        <v>0</v>
      </c>
      <c r="P8" s="31" t="s">
        <v>188</v>
      </c>
      <c r="Q8" s="248">
        <f>'ป.1(สกอ)'!N22/1</f>
        <v>0</v>
      </c>
      <c r="R8" s="94">
        <f>'ป.1(สกอ)'!N22/1</f>
        <v>0</v>
      </c>
      <c r="S8" s="97" t="s">
        <v>188</v>
      </c>
      <c r="T8" s="99" t="str">
        <f aca="true" t="shared" si="1" ref="T8:W16">IF(N8&gt;=4.51,"ดีมาก",IF(N8&gt;=3.51,"ดี",IF(N8&gt;=2.51,"พอใช้",IF(N8&gt;=1.51,"ต้องปรับปรุง",IF(N8&lt;=1.5,"ต้องปรับปรุงเร่งด่วน")))))</f>
        <v>ต้องปรับปรุงเร่งด่วน</v>
      </c>
      <c r="U8" s="99" t="str">
        <f t="shared" si="1"/>
        <v>ต้องปรับปรุงเร่งด่วน</v>
      </c>
      <c r="V8" s="107" t="s">
        <v>188</v>
      </c>
      <c r="W8" s="251" t="str">
        <f t="shared" si="1"/>
        <v>ต้องปรับปรุงเร่งด่วน</v>
      </c>
      <c r="X8" s="250" t="str">
        <f aca="true" t="shared" si="2" ref="X8:X16">IF(R8&gt;=4.51,"ดีมาก",IF(R8&gt;=3.51,"ดี",IF(R8&gt;=2.51,"พอใช้",IF(R8&gt;=1.51,"ต้องปรับปรุง",IF(R8&lt;=1.5,"ต้องปรับปรุงเร่งด่วน")))))</f>
        <v>ต้องปรับปรุงเร่งด่วน</v>
      </c>
      <c r="Y8" s="102" t="s">
        <v>188</v>
      </c>
    </row>
    <row r="9" spans="1:25" ht="67.5">
      <c r="A9" s="33" t="s">
        <v>205</v>
      </c>
      <c r="B9" s="40">
        <f>('ป.1(สกอ)'!M15+'ป.1(สกอ)'!M18)/2</f>
        <v>0</v>
      </c>
      <c r="C9" s="131">
        <f>('ป.1(สกอ)'!N15+'ป.1(สกอ)'!N18)/2</f>
        <v>0</v>
      </c>
      <c r="D9" s="30">
        <f>('ป.1(สกอ)'!M14+'ป.1(สกอ)'!M21+'ป.1(สกอ)'!M23)/3</f>
        <v>0</v>
      </c>
      <c r="E9" s="30">
        <f>('ป.1(สกอ)'!M14+'ป.1(สกอ)'!M21+'ป.1(สกอ)'!M23)/3</f>
        <v>0</v>
      </c>
      <c r="F9" s="30" t="s">
        <v>188</v>
      </c>
      <c r="G9" s="249">
        <f>('ป.1(สกอ)'!N14+'ป.1(สกอ)'!N21+'ป.1(สกอ)'!N23)/3</f>
        <v>0</v>
      </c>
      <c r="H9" s="131">
        <f>('ป.1(สกอ)'!N14+'ป.1(สกอ)'!N21+'ป.1(สกอ)'!N23)/3</f>
        <v>0</v>
      </c>
      <c r="I9" s="103" t="s">
        <v>188</v>
      </c>
      <c r="J9" s="30" t="s">
        <v>188</v>
      </c>
      <c r="K9" s="30">
        <f>SUM('ป.1(สมศ)'!N40:N41)/1</f>
        <v>0</v>
      </c>
      <c r="L9" s="131" t="s">
        <v>188</v>
      </c>
      <c r="M9" s="103">
        <f>SUM('ป.1(สมศ)'!O40:O41)/1</f>
        <v>0</v>
      </c>
      <c r="N9" s="31">
        <f>('ป.1(สกอ)'!M15+'ป.1(สกอ)'!M18+'ป.1(สกอ)'!M14+'ป.1(สกอ)'!M21+'ป.1(สกอ)'!M23)/5</f>
        <v>0</v>
      </c>
      <c r="O9" s="31">
        <f>('ป.1(สกอ)'!M15+'ป.1(สกอ)'!M18+'ป.1(สกอ)'!M14+'ป.1(สกอ)'!M21+'ป.1(สกอ)'!M23)/5</f>
        <v>0</v>
      </c>
      <c r="P9" s="31">
        <f>SUM('ป.1(สมศ)'!N40:N41)/1</f>
        <v>0</v>
      </c>
      <c r="Q9" s="248">
        <f>('ป.1(สกอ)'!N15+'ป.1(สกอ)'!N18+'ป.1(สกอ)'!N14+'ป.1(สกอ)'!N21+'ป.1(สกอ)'!N23)/5</f>
        <v>0</v>
      </c>
      <c r="R9" s="94">
        <f>('ป.1(สกอ)'!N15+'ป.1(สกอ)'!N18+'ป.1(สกอ)'!N14+'ป.1(สกอ)'!N21+'ป.1(สกอ)'!N23)/5</f>
        <v>0</v>
      </c>
      <c r="S9" s="97">
        <f>SUM('ป.1(สมศ)'!O40:O41)/1</f>
        <v>0</v>
      </c>
      <c r="T9" s="99" t="str">
        <f t="shared" si="1"/>
        <v>ต้องปรับปรุงเร่งด่วน</v>
      </c>
      <c r="U9" s="99" t="str">
        <f t="shared" si="1"/>
        <v>ต้องปรับปรุงเร่งด่วน</v>
      </c>
      <c r="V9" s="107" t="str">
        <f aca="true" t="shared" si="3" ref="V9:V16">IF(P9&gt;=4.51,"ดีมาก",IF(P9&gt;=3.51,"ดี",IF(P9&gt;=2.51,"พอใช้",IF(P9&gt;=1.51,"ต้องปรับปรุง",IF(P9&lt;=1.5,"ต้องปรับปรุงเร่งด่วน")))))</f>
        <v>ต้องปรับปรุงเร่งด่วน</v>
      </c>
      <c r="W9" s="251" t="str">
        <f t="shared" si="1"/>
        <v>ต้องปรับปรุงเร่งด่วน</v>
      </c>
      <c r="X9" s="250" t="str">
        <f t="shared" si="2"/>
        <v>ต้องปรับปรุงเร่งด่วน</v>
      </c>
      <c r="Y9" s="102" t="str">
        <f aca="true" t="shared" si="4" ref="Y9:Y16">IF(S9&gt;=4.51,"ดีมาก",IF(S9&gt;=3.51,"ดี",IF(S9&gt;=2.51,"พอใช้",IF(S9&gt;=1.51,"ต้องปรับปรุง",IF(S9&lt;=1.5,"ต้องปรับปรุงเร่งด่วน")))))</f>
        <v>ต้องปรับปรุงเร่งด่วน</v>
      </c>
    </row>
    <row r="10" spans="1:25" ht="67.5">
      <c r="A10" s="33" t="s">
        <v>206</v>
      </c>
      <c r="B10" s="40" t="s">
        <v>188</v>
      </c>
      <c r="C10" s="131" t="s">
        <v>188</v>
      </c>
      <c r="D10" s="30">
        <f>('ป.1(สกอ)'!M46)/1</f>
        <v>0</v>
      </c>
      <c r="E10" s="30">
        <f>('ป.1(สกอ)'!M46)/1</f>
        <v>0</v>
      </c>
      <c r="F10" s="30" t="s">
        <v>188</v>
      </c>
      <c r="G10" s="249">
        <f>('ป.1(สกอ)'!N46)/1</f>
        <v>0</v>
      </c>
      <c r="H10" s="131">
        <f>('ป.1(สกอ)'!N46)/1</f>
        <v>0</v>
      </c>
      <c r="I10" s="103" t="s">
        <v>188</v>
      </c>
      <c r="J10" s="30" t="s">
        <v>188</v>
      </c>
      <c r="K10" s="30" t="s">
        <v>188</v>
      </c>
      <c r="L10" s="131" t="s">
        <v>188</v>
      </c>
      <c r="M10" s="103" t="s">
        <v>188</v>
      </c>
      <c r="N10" s="31">
        <f>('ป.1(สกอ)'!M46)/1</f>
        <v>0</v>
      </c>
      <c r="O10" s="31">
        <f>('ป.1(สกอ)'!M46)/1</f>
        <v>0</v>
      </c>
      <c r="P10" s="31" t="s">
        <v>188</v>
      </c>
      <c r="Q10" s="248">
        <f>('ป.1(สกอ)'!N46)/1</f>
        <v>0</v>
      </c>
      <c r="R10" s="94">
        <f>('ป.1(สกอ)'!N46)/1</f>
        <v>0</v>
      </c>
      <c r="S10" s="97" t="s">
        <v>188</v>
      </c>
      <c r="T10" s="99" t="str">
        <f t="shared" si="1"/>
        <v>ต้องปรับปรุงเร่งด่วน</v>
      </c>
      <c r="U10" s="99" t="str">
        <f t="shared" si="1"/>
        <v>ต้องปรับปรุงเร่งด่วน</v>
      </c>
      <c r="V10" s="107" t="s">
        <v>188</v>
      </c>
      <c r="W10" s="251" t="str">
        <f t="shared" si="1"/>
        <v>ต้องปรับปรุงเร่งด่วน</v>
      </c>
      <c r="X10" s="250" t="str">
        <f t="shared" si="2"/>
        <v>ต้องปรับปรุงเร่งด่วน</v>
      </c>
      <c r="Y10" s="102" t="s">
        <v>188</v>
      </c>
    </row>
    <row r="11" spans="1:25" ht="67.5">
      <c r="A11" s="33" t="s">
        <v>207</v>
      </c>
      <c r="B11" s="40" t="s">
        <v>188</v>
      </c>
      <c r="C11" s="131" t="s">
        <v>188</v>
      </c>
      <c r="D11" s="30">
        <f>('ป.1(สกอ)'!M12+'ป.1(สกอ)'!M41+'ป.1(สกอ)'!M42+'ป.1(สกอ)'!M43+'ป.1(สกอ)'!M44+'ป.1(สกอ)'!M48)/6</f>
        <v>0</v>
      </c>
      <c r="E11" s="30">
        <f>('ป.1(สกอ)'!M12+'ป.1(สกอ)'!M41+'ป.1(สกอ)'!M42+'ป.1(สกอ)'!M43+'ป.1(สกอ)'!M44+'ป.1(สกอ)'!M48)/6</f>
        <v>0</v>
      </c>
      <c r="F11" s="30" t="s">
        <v>188</v>
      </c>
      <c r="G11" s="249">
        <f>('ป.1(สกอ)'!N12+'ป.1(สกอ)'!N41+'ป.1(สกอ)'!N42+'ป.1(สกอ)'!N43+'ป.1(สกอ)'!N44+'ป.1(สกอ)'!N48)/6</f>
        <v>0</v>
      </c>
      <c r="H11" s="131">
        <f>('ป.1(สกอ)'!N12+'ป.1(สกอ)'!N41+'ป.1(สกอ)'!N42+'ป.1(สกอ)'!N43+'ป.1(สกอ)'!N44+'ป.1(สกอ)'!N48)/6</f>
        <v>0</v>
      </c>
      <c r="I11" s="103" t="s">
        <v>188</v>
      </c>
      <c r="J11" s="30" t="s">
        <v>188</v>
      </c>
      <c r="K11" s="30">
        <f>SUM('ป.1(สมศ)'!N11,'ป.1(สมศ)'!N77,'ป.1(สมศ)'!N79)/3</f>
        <v>0</v>
      </c>
      <c r="L11" s="131" t="s">
        <v>188</v>
      </c>
      <c r="M11" s="103">
        <f>SUM('ป.1(สมศ)'!O11,'ป.1(สมศ)'!O77,'ป.1(สมศ)'!O79)/3</f>
        <v>0</v>
      </c>
      <c r="N11" s="31">
        <f>('ป.1(สกอ)'!M12+'ป.1(สกอ)'!M41+'ป.1(สกอ)'!M42+'ป.1(สกอ)'!M43+'ป.1(สกอ)'!M44+'ป.1(สกอ)'!M48)/6</f>
        <v>0</v>
      </c>
      <c r="O11" s="31">
        <f>('ป.1(สกอ)'!M12+'ป.1(สกอ)'!M41+'ป.1(สกอ)'!M42+'ป.1(สกอ)'!M43+'ป.1(สกอ)'!M44+'ป.1(สกอ)'!M48)/6</f>
        <v>0</v>
      </c>
      <c r="P11" s="31">
        <f>SUM('ป.1(สมศ)'!N11,'ป.1(สมศ)'!N77,'ป.1(สมศ)'!N79)/3</f>
        <v>0</v>
      </c>
      <c r="Q11" s="248">
        <f>('ป.1(สกอ)'!N12+'ป.1(สกอ)'!N41+'ป.1(สกอ)'!N42+'ป.1(สกอ)'!N43+'ป.1(สกอ)'!N44+'ป.1(สกอ)'!N48)/6</f>
        <v>0</v>
      </c>
      <c r="R11" s="94">
        <f>('ป.1(สกอ)'!N12+'ป.1(สกอ)'!N41+'ป.1(สกอ)'!N42+'ป.1(สกอ)'!N43+'ป.1(สกอ)'!N44+'ป.1(สกอ)'!N48)/6</f>
        <v>0</v>
      </c>
      <c r="S11" s="97">
        <f>SUM('ป.1(สมศ)'!O11,'ป.1(สมศ)'!O77,'ป.1(สมศ)'!O79)/3</f>
        <v>0</v>
      </c>
      <c r="T11" s="99" t="str">
        <f t="shared" si="1"/>
        <v>ต้องปรับปรุงเร่งด่วน</v>
      </c>
      <c r="U11" s="99" t="str">
        <f t="shared" si="1"/>
        <v>ต้องปรับปรุงเร่งด่วน</v>
      </c>
      <c r="V11" s="107" t="str">
        <f t="shared" si="3"/>
        <v>ต้องปรับปรุงเร่งด่วน</v>
      </c>
      <c r="W11" s="251" t="str">
        <f t="shared" si="1"/>
        <v>ต้องปรับปรุงเร่งด่วน</v>
      </c>
      <c r="X11" s="250" t="str">
        <f t="shared" si="2"/>
        <v>ต้องปรับปรุงเร่งด่วน</v>
      </c>
      <c r="Y11" s="102" t="str">
        <f t="shared" si="4"/>
        <v>ต้องปรับปรุงเร่งด่วน</v>
      </c>
    </row>
    <row r="12" spans="1:25" ht="93">
      <c r="A12" s="29" t="s">
        <v>208</v>
      </c>
      <c r="B12" s="31">
        <f>('ป.1(สกอ)'!M33)/1</f>
        <v>0</v>
      </c>
      <c r="C12" s="94">
        <f>('ป.1(สกอ)'!N33)/1</f>
        <v>0</v>
      </c>
      <c r="D12" s="31">
        <f>('ป.1(สกอ)'!M24+'ป.1(สกอ)'!M27+'ป.1(สกอ)'!M28+'ป.1(สกอ)'!M29+'ป.1(สกอ)'!M31+'ป.1(สกอ)'!M32+'ป.1(สกอ)'!M36+'ป.1(สกอ)'!M37+'ป.1(สกอ)'!M39)/9</f>
        <v>0</v>
      </c>
      <c r="E12" s="31">
        <f>('ป.1(สกอ)'!M24+'ป.1(สกอ)'!M27+'ป.1(สกอ)'!M28+'ป.1(สกอ)'!M31+'ป.1(สกอ)'!M32+'ป.1(สกอ)'!M36+'ป.1(สกอ)'!M37+'ป.1(สกอ)'!M39)/8</f>
        <v>0</v>
      </c>
      <c r="F12" s="31">
        <f>SUM('ป.1(สมศ)'!N75)/1</f>
        <v>0</v>
      </c>
      <c r="G12" s="248">
        <f>('ป.1(สกอ)'!N24+'ป.1(สกอ)'!N27+'ป.1(สกอ)'!N28+'ป.1(สกอ)'!N29+'ป.1(สกอ)'!N31+'ป.1(สกอ)'!N32+'ป.1(สกอ)'!N36+'ป.1(สกอ)'!N37+'ป.1(สกอ)'!N39)/9</f>
        <v>0</v>
      </c>
      <c r="H12" s="94">
        <f>('ป.1(สกอ)'!N24+'ป.1(สกอ)'!N27+'ป.1(สกอ)'!N28+'ป.1(สกอ)'!N31+'ป.1(สกอ)'!N32+'ป.1(สกอ)'!N36+'ป.1(สกอ)'!N37+'ป.1(สกอ)'!N39)/8</f>
        <v>0</v>
      </c>
      <c r="I12" s="97">
        <f>SUM('ป.1(สมศ)'!O75)/1</f>
        <v>0</v>
      </c>
      <c r="J12" s="31">
        <f>('ป.1(สกอ)'!M25)/1</f>
        <v>0</v>
      </c>
      <c r="K12" s="31">
        <f>SUM('ป.1(สมศ)'!N13:N14,'ป.1(สมศ)'!N17:N17,'ป.1(สมศ)'!N19:N20,'ป.1(สมศ)'!N32:N33,'ป.1(สมศ)'!N43:N44,'ป.1(สมศ)'!N56:N57,'ป.1(สมศ)'!N58:N59,'ป.1(สมศ)'!N65,'ป.1(สมศ)'!N71,'ป.1(สมศ)'!N72,'ป.1(สมศ)'!N74)/11</f>
        <v>0</v>
      </c>
      <c r="L12" s="94">
        <f>('ป.1(สกอ)'!N25)/1</f>
        <v>0</v>
      </c>
      <c r="M12" s="97">
        <f>SUM('ป.1(สมศ)'!O13:O14,'ป.1(สมศ)'!O17:O18,'ป.1(สมศ)'!O19:O20,'ป.1(สมศ)'!O32:O33,'ป.1(สมศ)'!O43:O44,'ป.1(สมศ)'!O56:O57,'ป.1(สมศ)'!O58:O59,'ป.1(สมศ)'!O65,'ป.1(สมศ)'!O71,'ป.1(สมศ)'!O72,'ป.1(สมศ)'!O74)/11</f>
        <v>0</v>
      </c>
      <c r="N12" s="31">
        <f>('ป.1(สกอ)'!M24+'ป.1(สกอ)'!M27+'ป.1(สกอ)'!M28+'ป.1(สกอ)'!M29+'ป.1(สกอ)'!M25+'ป.1(สกอ)'!M33+'ป.1(สกอ)'!M31+'ป.1(สกอ)'!M32+'ป.1(สกอ)'!M36+'ป.1(สกอ)'!M37+'ป.1(สกอ)'!M39)/11</f>
        <v>0</v>
      </c>
      <c r="O12" s="31">
        <f>('ป.1(สกอ)'!M24+'ป.1(สกอ)'!M27+'ป.1(สกอ)'!M28+'ป.1(สกอ)'!M25+'ป.1(สกอ)'!M33+'ป.1(สกอ)'!M31+'ป.1(สกอ)'!M32+'ป.1(สกอ)'!M36+'ป.1(สกอ)'!M37+'ป.1(สกอ)'!M39)/10</f>
        <v>0</v>
      </c>
      <c r="P12" s="31">
        <f>SUM('ป.1(สมศ)'!N13:N14,'ป.1(สมศ)'!N17:N18,'ป.1(สมศ)'!N19:N20,'ป.1(สมศ)'!N32:N33,'ป.1(สมศ)'!N43:N44,'ป.1(สมศ)'!N56:N57,'ป.1(สมศ)'!N58:N59,'ป.1(สมศ)'!N65,'ป.1(สมศ)'!N71,'ป.1(สมศ)'!N72,'ป.1(สมศ)'!N74,'ป.1(สมศ)'!N75)/12</f>
        <v>0</v>
      </c>
      <c r="Q12" s="248">
        <f>('ป.1(สกอ)'!N24+'ป.1(สกอ)'!N27+'ป.1(สกอ)'!N28+'ป.1(สกอ)'!N29+'ป.1(สกอ)'!N25+'ป.1(สกอ)'!N33+'ป.1(สกอ)'!N31+'ป.1(สกอ)'!N32+'ป.1(สกอ)'!N36+'ป.1(สกอ)'!N37+'ป.1(สกอ)'!N39)/11</f>
        <v>0</v>
      </c>
      <c r="R12" s="94">
        <f>('ป.1(สกอ)'!N24+'ป.1(สกอ)'!N27+'ป.1(สกอ)'!N28+'ป.1(สกอ)'!N25+'ป.1(สกอ)'!N33+'ป.1(สกอ)'!N31+'ป.1(สกอ)'!N32+'ป.1(สกอ)'!N36+'ป.1(สกอ)'!N37+'ป.1(สกอ)'!N39)/10</f>
        <v>0</v>
      </c>
      <c r="S12" s="97">
        <f>SUM('ป.1(สมศ)'!O13:O14,'ป.1(สมศ)'!O17:O18,'ป.1(สมศ)'!O19:O20,'ป.1(สมศ)'!O32:O33,'ป.1(สมศ)'!O43:O44,'ป.1(สมศ)'!O56:O57,'ป.1(สมศ)'!O58:O59,'ป.1(สมศ)'!O65,'ป.1(สมศ)'!O71,'ป.1(สมศ)'!O72,'ป.1(สมศ)'!O74,'ป.1(สมศ)'!O75)/12</f>
        <v>0</v>
      </c>
      <c r="T12" s="99" t="str">
        <f t="shared" si="1"/>
        <v>ต้องปรับปรุงเร่งด่วน</v>
      </c>
      <c r="U12" s="99" t="str">
        <f t="shared" si="1"/>
        <v>ต้องปรับปรุงเร่งด่วน</v>
      </c>
      <c r="V12" s="107" t="str">
        <f t="shared" si="3"/>
        <v>ต้องปรับปรุงเร่งด่วน</v>
      </c>
      <c r="W12" s="251" t="str">
        <f t="shared" si="1"/>
        <v>ต้องปรับปรุงเร่งด่วน</v>
      </c>
      <c r="X12" s="250" t="str">
        <f t="shared" si="2"/>
        <v>ต้องปรับปรุงเร่งด่วน</v>
      </c>
      <c r="Y12" s="102" t="str">
        <f t="shared" si="4"/>
        <v>ต้องปรับปรุงเร่งด่วน</v>
      </c>
    </row>
    <row r="13" spans="1:25" ht="67.5">
      <c r="A13" s="33" t="s">
        <v>209</v>
      </c>
      <c r="B13" s="30" t="s">
        <v>188</v>
      </c>
      <c r="C13" s="131" t="s">
        <v>188</v>
      </c>
      <c r="D13" s="30">
        <f>('ป.1(สกอ)'!M24+'ป.1(สกอ)'!M27+'ป.1(สกอ)'!M28+'ป.1(สกอ)'!M29)/4</f>
        <v>0</v>
      </c>
      <c r="E13" s="30">
        <f>('ป.1(สกอ)'!M24+'ป.1(สกอ)'!M27+'ป.1(สกอ)'!M28)/3</f>
        <v>0</v>
      </c>
      <c r="F13" s="30" t="s">
        <v>188</v>
      </c>
      <c r="G13" s="249">
        <f>('ป.1(สกอ)'!N24+'ป.1(สกอ)'!N27+'ป.1(สกอ)'!N28+'ป.1(สกอ)'!N29)/4</f>
        <v>0</v>
      </c>
      <c r="H13" s="131">
        <f>('ป.1(สกอ)'!N24+'ป.1(สกอ)'!N27+'ป.1(สกอ)'!N28)/4</f>
        <v>0</v>
      </c>
      <c r="I13" s="103" t="s">
        <v>188</v>
      </c>
      <c r="J13" s="30">
        <f>('ป.1(สกอ)'!M25)/1</f>
        <v>0</v>
      </c>
      <c r="K13" s="30">
        <f>SUM('ป.1(สมศ)'!N13:N14,'ป.1(สมศ)'!N17:N17,'ป.1(สมศ)'!N19:N20,'ป.1(สมศ)'!N32:N33)/4</f>
        <v>0</v>
      </c>
      <c r="L13" s="131">
        <f>('ป.1(สกอ)'!N25)/1</f>
        <v>0</v>
      </c>
      <c r="M13" s="103">
        <f>SUM('ป.1(สมศ)'!O13:O14,'ป.1(สมศ)'!O17:O17,'ป.1(สมศ)'!O19:O20,'ป.1(สมศ)'!O32:O33)/4</f>
        <v>0</v>
      </c>
      <c r="N13" s="31">
        <f>('ป.1(สกอ)'!M24+'ป.1(สกอ)'!M27+'ป.1(สกอ)'!M28+'ป.1(สกอ)'!M29+'ป.1(สกอ)'!M25)/5</f>
        <v>0</v>
      </c>
      <c r="O13" s="31">
        <f>('ป.1(สกอ)'!M24+'ป.1(สกอ)'!M27+'ป.1(สกอ)'!M28+'ป.1(สกอ)'!M25)/4</f>
        <v>0</v>
      </c>
      <c r="P13" s="31">
        <f>SUM('ป.1(สมศ)'!N13:N14,'ป.1(สมศ)'!N17:N17,'ป.1(สมศ)'!N19:N20,'ป.1(สมศ)'!N32:N33)/4</f>
        <v>0</v>
      </c>
      <c r="Q13" s="248">
        <f>('ป.1(สกอ)'!N24+'ป.1(สกอ)'!N27+'ป.1(สกอ)'!N28+'ป.1(สกอ)'!N29+'ป.1(สกอ)'!N25)/5</f>
        <v>0</v>
      </c>
      <c r="R13" s="94">
        <f>('ป.1(สกอ)'!N24+'ป.1(สกอ)'!N27+'ป.1(สกอ)'!N28+'ป.1(สกอ)'!N25)/4</f>
        <v>0</v>
      </c>
      <c r="S13" s="97">
        <f>SUM('ป.1(สมศ)'!O13:O14,'ป.1(สมศ)'!O17:O17,'ป.1(สมศ)'!O19:O20,'ป.1(สมศ)'!O32:O33)/4</f>
        <v>0</v>
      </c>
      <c r="T13" s="99" t="str">
        <f t="shared" si="1"/>
        <v>ต้องปรับปรุงเร่งด่วน</v>
      </c>
      <c r="U13" s="99" t="str">
        <f t="shared" si="1"/>
        <v>ต้องปรับปรุงเร่งด่วน</v>
      </c>
      <c r="V13" s="107" t="str">
        <f t="shared" si="3"/>
        <v>ต้องปรับปรุงเร่งด่วน</v>
      </c>
      <c r="W13" s="251" t="str">
        <f t="shared" si="1"/>
        <v>ต้องปรับปรุงเร่งด่วน</v>
      </c>
      <c r="X13" s="250" t="str">
        <f t="shared" si="2"/>
        <v>ต้องปรับปรุงเร่งด่วน</v>
      </c>
      <c r="Y13" s="102" t="str">
        <f t="shared" si="4"/>
        <v>ต้องปรับปรุงเร่งด่วน</v>
      </c>
    </row>
    <row r="14" spans="1:25" ht="67.5">
      <c r="A14" s="33" t="s">
        <v>210</v>
      </c>
      <c r="B14" s="30">
        <f>('ป.1(สกอ)'!M33)/1</f>
        <v>0</v>
      </c>
      <c r="C14" s="131">
        <f>('ป.1(สกอ)'!N33)/1</f>
        <v>0</v>
      </c>
      <c r="D14" s="30">
        <f>('ป.1(สกอ)'!M31+'ป.1(สกอ)'!M32)/2</f>
        <v>0</v>
      </c>
      <c r="E14" s="30">
        <f>('ป.1(สกอ)'!M31+'ป.1(สกอ)'!M32)/2</f>
        <v>0</v>
      </c>
      <c r="F14" s="30" t="s">
        <v>188</v>
      </c>
      <c r="G14" s="249">
        <f>('ป.1(สกอ)'!N31+'ป.1(สกอ)'!N32)/2</f>
        <v>0</v>
      </c>
      <c r="H14" s="131">
        <f>('ป.1(สกอ)'!N31+'ป.1(สกอ)'!N32)/2</f>
        <v>0</v>
      </c>
      <c r="I14" s="103" t="s">
        <v>188</v>
      </c>
      <c r="J14" s="30" t="s">
        <v>188</v>
      </c>
      <c r="K14" s="30">
        <f>SUM('ป.1(สมศ)'!N43:N44,'ป.1(สมศ)'!N56:N57,'ป.1(สมศ)'!N58:N59)/3</f>
        <v>0</v>
      </c>
      <c r="L14" s="131" t="s">
        <v>188</v>
      </c>
      <c r="M14" s="103">
        <f>SUM('ป.1(สมศ)'!O43:O44,'ป.1(สมศ)'!O56:O57,'ป.1(สมศ)'!O58:O59)/3</f>
        <v>0</v>
      </c>
      <c r="N14" s="31">
        <f>('ป.1(สกอ)'!M33+'ป.1(สกอ)'!M31+'ป.1(สกอ)'!M32)/3</f>
        <v>0</v>
      </c>
      <c r="O14" s="31">
        <f>('ป.1(สกอ)'!M33+'ป.1(สกอ)'!M31+'ป.1(สกอ)'!M32)/3</f>
        <v>0</v>
      </c>
      <c r="P14" s="31">
        <f>SUM('ป.1(สมศ)'!N43:N44,'ป.1(สมศ)'!N56:N57,'ป.1(สมศ)'!N58:N59)/3</f>
        <v>0</v>
      </c>
      <c r="Q14" s="248">
        <f>('ป.1(สกอ)'!N33+'ป.1(สกอ)'!N31+'ป.1(สกอ)'!N32)/3</f>
        <v>0</v>
      </c>
      <c r="R14" s="94">
        <f>('ป.1(สกอ)'!N33+'ป.1(สกอ)'!N31+'ป.1(สกอ)'!N32)/3</f>
        <v>0</v>
      </c>
      <c r="S14" s="97">
        <f>SUM('ป.1(สมศ)'!O43:O44,'ป.1(สมศ)'!O56:O57,'ป.1(สมศ)'!O58:O59)/3</f>
        <v>0</v>
      </c>
      <c r="T14" s="99" t="str">
        <f t="shared" si="1"/>
        <v>ต้องปรับปรุงเร่งด่วน</v>
      </c>
      <c r="U14" s="99" t="str">
        <f t="shared" si="1"/>
        <v>ต้องปรับปรุงเร่งด่วน</v>
      </c>
      <c r="V14" s="107" t="str">
        <f t="shared" si="3"/>
        <v>ต้องปรับปรุงเร่งด่วน</v>
      </c>
      <c r="W14" s="251" t="str">
        <f t="shared" si="1"/>
        <v>ต้องปรับปรุงเร่งด่วน</v>
      </c>
      <c r="X14" s="250" t="str">
        <f t="shared" si="2"/>
        <v>ต้องปรับปรุงเร่งด่วน</v>
      </c>
      <c r="Y14" s="102" t="str">
        <f t="shared" si="4"/>
        <v>ต้องปรับปรุงเร่งด่วน</v>
      </c>
    </row>
    <row r="15" spans="1:25" ht="67.5">
      <c r="A15" s="33" t="s">
        <v>211</v>
      </c>
      <c r="B15" s="30" t="s">
        <v>188</v>
      </c>
      <c r="C15" s="131" t="s">
        <v>188</v>
      </c>
      <c r="D15" s="30">
        <f>('ป.1(สกอ)'!M36+'ป.1(สกอ)'!M37)/2</f>
        <v>0</v>
      </c>
      <c r="E15" s="30">
        <f>('ป.1(สกอ)'!M36+'ป.1(สกอ)'!M37)/2</f>
        <v>0</v>
      </c>
      <c r="F15" s="30" t="s">
        <v>188</v>
      </c>
      <c r="G15" s="249">
        <f>('ป.1(สกอ)'!N36+'ป.1(สกอ)'!N37)/2</f>
        <v>0</v>
      </c>
      <c r="H15" s="131">
        <f>('ป.1(สกอ)'!N36+'ป.1(สกอ)'!N37)/2</f>
        <v>0</v>
      </c>
      <c r="I15" s="103" t="s">
        <v>188</v>
      </c>
      <c r="J15" s="30" t="s">
        <v>188</v>
      </c>
      <c r="K15" s="30">
        <f>SUM('ป.1(สมศ)'!N65,'ป.1(สมศ)'!N71,'ป.1(สมศ)'!N72)/3</f>
        <v>0</v>
      </c>
      <c r="L15" s="131"/>
      <c r="M15" s="103">
        <f>SUM('ป.1(สมศ)'!O65,'ป.1(สมศ)'!O71,'ป.1(สมศ)'!O72)/3</f>
        <v>0</v>
      </c>
      <c r="N15" s="31">
        <f>('ป.1(สกอ)'!M36+'ป.1(สกอ)'!M37)/2</f>
        <v>0</v>
      </c>
      <c r="O15" s="31">
        <f>('ป.1(สกอ)'!M36+'ป.1(สกอ)'!M37)/2</f>
        <v>0</v>
      </c>
      <c r="P15" s="31">
        <f>SUM('ป.1(สมศ)'!N65,'ป.1(สมศ)'!N71,'ป.1(สมศ)'!N72)/3</f>
        <v>0</v>
      </c>
      <c r="Q15" s="248">
        <f>('ป.1(สกอ)'!N36+'ป.1(สกอ)'!N37)/2</f>
        <v>0</v>
      </c>
      <c r="R15" s="94">
        <f>('ป.1(สกอ)'!N36+'ป.1(สกอ)'!N37)/2</f>
        <v>0</v>
      </c>
      <c r="S15" s="97">
        <f>SUM('ป.1(สมศ)'!O65,'ป.1(สมศ)'!O71,'ป.1(สมศ)'!O72)/3</f>
        <v>0</v>
      </c>
      <c r="T15" s="99" t="str">
        <f t="shared" si="1"/>
        <v>ต้องปรับปรุงเร่งด่วน</v>
      </c>
      <c r="U15" s="99" t="str">
        <f t="shared" si="1"/>
        <v>ต้องปรับปรุงเร่งด่วน</v>
      </c>
      <c r="V15" s="107" t="str">
        <f t="shared" si="3"/>
        <v>ต้องปรับปรุงเร่งด่วน</v>
      </c>
      <c r="W15" s="251" t="str">
        <f t="shared" si="1"/>
        <v>ต้องปรับปรุงเร่งด่วน</v>
      </c>
      <c r="X15" s="250" t="str">
        <f t="shared" si="2"/>
        <v>ต้องปรับปรุงเร่งด่วน</v>
      </c>
      <c r="Y15" s="102" t="str">
        <f t="shared" si="4"/>
        <v>ต้องปรับปรุงเร่งด่วน</v>
      </c>
    </row>
    <row r="16" spans="1:25" ht="67.5">
      <c r="A16" s="33" t="s">
        <v>212</v>
      </c>
      <c r="B16" s="30" t="s">
        <v>188</v>
      </c>
      <c r="C16" s="131" t="s">
        <v>188</v>
      </c>
      <c r="D16" s="30">
        <f>('ป.1(สกอ)'!M39)/1</f>
        <v>0</v>
      </c>
      <c r="E16" s="30">
        <f>('ป.1(สกอ)'!M39)/1</f>
        <v>0</v>
      </c>
      <c r="F16" s="30">
        <f>SUM('ป.1(สมศ)'!N75)/1</f>
        <v>0</v>
      </c>
      <c r="G16" s="249">
        <f>('ป.1(สกอ)'!N39)/1</f>
        <v>0</v>
      </c>
      <c r="H16" s="131">
        <f>('ป.1(สกอ)'!N39)/1</f>
        <v>0</v>
      </c>
      <c r="I16" s="103">
        <f>SUM('ป.1(สมศ)'!O75)/1</f>
        <v>0</v>
      </c>
      <c r="J16" s="30" t="s">
        <v>188</v>
      </c>
      <c r="K16" s="30">
        <f>SUM('ป.1(สมศ)'!N74)/1</f>
        <v>0</v>
      </c>
      <c r="L16" s="131"/>
      <c r="M16" s="103">
        <f>SUM('ป.1(สมศ)'!O74)/1</f>
        <v>0</v>
      </c>
      <c r="N16" s="31">
        <f>('ป.1(สกอ)'!M39)/1</f>
        <v>0</v>
      </c>
      <c r="O16" s="31">
        <f>('ป.1(สกอ)'!M39)/1</f>
        <v>0</v>
      </c>
      <c r="P16" s="31">
        <f>SUM('ป.1(สมศ)'!N74,'ป.1(สมศ)'!N75)/2</f>
        <v>0</v>
      </c>
      <c r="Q16" s="248">
        <f>('ป.1(สกอ)'!N39)/1</f>
        <v>0</v>
      </c>
      <c r="R16" s="94">
        <f>('ป.1(สกอ)'!N39)/1</f>
        <v>0</v>
      </c>
      <c r="S16" s="97">
        <f>SUM('ป.1(สมศ)'!O75,'ป.1(สมศ)'!O74)/2</f>
        <v>0</v>
      </c>
      <c r="T16" s="99" t="str">
        <f t="shared" si="1"/>
        <v>ต้องปรับปรุงเร่งด่วน</v>
      </c>
      <c r="U16" s="99" t="str">
        <f t="shared" si="1"/>
        <v>ต้องปรับปรุงเร่งด่วน</v>
      </c>
      <c r="V16" s="107" t="str">
        <f t="shared" si="3"/>
        <v>ต้องปรับปรุงเร่งด่วน</v>
      </c>
      <c r="W16" s="251" t="str">
        <f t="shared" si="1"/>
        <v>ต้องปรับปรุงเร่งด่วน</v>
      </c>
      <c r="X16" s="250" t="str">
        <f t="shared" si="2"/>
        <v>ต้องปรับปรุงเร่งด่วน</v>
      </c>
      <c r="Y16" s="102" t="str">
        <f t="shared" si="4"/>
        <v>ต้องปรับปรุงเร่งด่วน</v>
      </c>
    </row>
    <row r="17" spans="1:25" ht="69.75">
      <c r="A17" s="95" t="s">
        <v>213</v>
      </c>
      <c r="B17" s="35">
        <f>('ป.1(สกอ)'!M22+'ป.1(สกอ)'!M15+'ป.1(สกอ)'!M18+'ป.1(สกอ)'!M33)/4</f>
        <v>0</v>
      </c>
      <c r="C17" s="94">
        <f>('ป.1(สกอ)'!N22+'ป.1(สกอ)'!N15+'ป.1(สกอ)'!N18+'ป.1(สกอ)'!N33)/4</f>
        <v>0</v>
      </c>
      <c r="D17" s="35">
        <f>('ป.1(สกอ)'!M14+'ป.1(สกอ)'!M21+'ป.1(สกอ)'!M23+'ป.1(สกอ)'!M46+'ป.1(สกอ)'!M12+'ป.1(สกอ)'!M41+'ป.1(สกอ)'!M42+'ป.1(สกอ)'!M43+'ป.1(สกอ)'!M44+'ป.1(สกอ)'!M48+'ป.1(สกอ)'!M24+'ป.1(สกอ)'!M27+'ป.1(สกอ)'!M28+'ป.1(สกอ)'!M29+'ป.1(สกอ)'!M31+'ป.1(สกอ)'!M32+'ป.1(สกอ)'!M36+'ป.1(สกอ)'!M37+'ป.1(สกอ)'!M39)/19</f>
        <v>0</v>
      </c>
      <c r="E17" s="35">
        <f>('ป.1(สกอ)'!M14+'ป.1(สกอ)'!M21+'ป.1(สกอ)'!M23+'ป.1(สกอ)'!M46+'ป.1(สกอ)'!M12+'ป.1(สกอ)'!M41+'ป.1(สกอ)'!M42+'ป.1(สกอ)'!M43+'ป.1(สกอ)'!M44+'ป.1(สกอ)'!M48+'ป.1(สกอ)'!M24+'ป.1(สกอ)'!M27+'ป.1(สกอ)'!M28+'ป.1(สกอ)'!M31+'ป.1(สกอ)'!M32+'ป.1(สกอ)'!M36+'ป.1(สกอ)'!M37+'ป.1(สกอ)'!M39)/18</f>
        <v>0</v>
      </c>
      <c r="F17" s="35">
        <f>SUM('ป.1(สมศ)'!N75)/1</f>
        <v>0</v>
      </c>
      <c r="G17" s="248">
        <f>('ป.1(สกอ)'!N14+'ป.1(สกอ)'!N21+'ป.1(สกอ)'!N23+'ป.1(สกอ)'!N46+'ป.1(สกอ)'!N12+'ป.1(สกอ)'!N41+'ป.1(สกอ)'!N42+'ป.1(สกอ)'!N43+'ป.1(สกอ)'!N44+'ป.1(สกอ)'!N48+'ป.1(สกอ)'!N24+'ป.1(สกอ)'!N27+'ป.1(สกอ)'!N28+'ป.1(สกอ)'!N29+'ป.1(สกอ)'!N31+'ป.1(สกอ)'!N32+'ป.1(สกอ)'!N36+'ป.1(สกอ)'!N37+'ป.1(สกอ)'!N39)/19</f>
        <v>0</v>
      </c>
      <c r="H17" s="94">
        <f>('ป.1(สกอ)'!N14+'ป.1(สกอ)'!N21+'ป.1(สกอ)'!N23+'ป.1(สกอ)'!N46+'ป.1(สกอ)'!N12+'ป.1(สกอ)'!N41+'ป.1(สกอ)'!N42+'ป.1(สกอ)'!N43+'ป.1(สกอ)'!N44+'ป.1(สกอ)'!N48+'ป.1(สกอ)'!N24+'ป.1(สกอ)'!N27+'ป.1(สกอ)'!N28+'ป.1(สกอ)'!N31+'ป.1(สกอ)'!N32+'ป.1(สกอ)'!N36+'ป.1(สกอ)'!N37+'ป.1(สกอ)'!N39)/19</f>
        <v>0</v>
      </c>
      <c r="I17" s="97">
        <f>SUM('ป.1(สมศ)'!O75)/1</f>
        <v>0</v>
      </c>
      <c r="J17" s="35">
        <f>('ป.1(สกอ)'!M25)/1</f>
        <v>0</v>
      </c>
      <c r="K17" s="35">
        <f>SUM('ป.1(สมศ)'!N40:N41,'ป.1(สมศ)'!N77,'ป.1(สมศ)'!N79,'ป.1(สมศ)'!N11,'ป.1(สมศ)'!N13:N14,'ป.1(สมศ)'!N17:N17,'ป.1(สมศ)'!N19:N20,'ป.1(สมศ)'!N32:N33,'ป.1(สมศ)'!N43:N44,'ป.1(สมศ)'!N56:N57,'ป.1(สมศ)'!N58:N59,'ป.1(สมศ)'!N65,'ป.1(สมศ)'!N71,'ป.1(สมศ)'!N72,'ป.1(สมศ)'!N74)/15</f>
        <v>0</v>
      </c>
      <c r="L17" s="110">
        <f>('ป.1(สกอ)'!N25)/1</f>
        <v>0</v>
      </c>
      <c r="M17" s="97">
        <f>SUM('ป.1(สมศ)'!O40:O41,'ป.1(สมศ)'!O77,'ป.1(สมศ)'!O79,'ป.1(สมศ)'!O11,'ป.1(สมศ)'!O13:O14,'ป.1(สมศ)'!O17:O17,'ป.1(สมศ)'!O19:O20,'ป.1(สมศ)'!O32:O33,'ป.1(สมศ)'!O43:O44,'ป.1(สมศ)'!O56:O57,'ป.1(สมศ)'!O58:O59,'ป.1(สมศ)'!O65,'ป.1(สมศ)'!O71,'ป.1(สมศ)'!O72,'ป.1(สมศ)'!O74)/15</f>
        <v>0</v>
      </c>
      <c r="N17" s="35">
        <f>('ป.1(สกอ)'!M22+'ป.1(สกอ)'!M15+'ป.1(สกอ)'!M18+'ป.1(สกอ)'!M14+'ป.1(สกอ)'!M21+'ป.1(สกอ)'!M23+'ป.1(สกอ)'!M46+'ป.1(สกอ)'!M12+'ป.1(สกอ)'!M41+'ป.1(สกอ)'!M42+'ป.1(สกอ)'!M43+'ป.1(สกอ)'!M44+'ป.1(สกอ)'!M48+'ป.1(สกอ)'!M24+'ป.1(สกอ)'!M27+'ป.1(สกอ)'!M28+'ป.1(สกอ)'!M29+'ป.1(สกอ)'!M25+'ป.1(สกอ)'!M33+'ป.1(สกอ)'!M31+'ป.1(สกอ)'!M32+'ป.1(สกอ)'!M36+'ป.1(สกอ)'!M37+'ป.1(สกอ)'!M39)/24</f>
        <v>0</v>
      </c>
      <c r="O17" s="35">
        <f>('ป.1(สกอ)'!M22+'ป.1(สกอ)'!M15+'ป.1(สกอ)'!M18+'ป.1(สกอ)'!M14+'ป.1(สกอ)'!M21+'ป.1(สกอ)'!M23+'ป.1(สกอ)'!M46+'ป.1(สกอ)'!M12+'ป.1(สกอ)'!M41+'ป.1(สกอ)'!M42+'ป.1(สกอ)'!M43+'ป.1(สกอ)'!M44+'ป.1(สกอ)'!M48+'ป.1(สกอ)'!M24+'ป.1(สกอ)'!M27+'ป.1(สกอ)'!M28+'ป.1(สกอ)'!M25+'ป.1(สกอ)'!M33+'ป.1(สกอ)'!M31+'ป.1(สกอ)'!M32+'ป.1(สกอ)'!M36+'ป.1(สกอ)'!M37+'ป.1(สกอ)'!M39)/23</f>
        <v>0</v>
      </c>
      <c r="P17" s="35">
        <f>SUM('ป.1(สมศ)'!N40:N41,'ป.1(สมศ)'!N77,'ป.1(สมศ)'!N79,'ป.1(สมศ)'!N11,'ป.1(สมศ)'!N13:N14,'ป.1(สมศ)'!N17:N18,'ป.1(สมศ)'!N19:N20,'ป.1(สมศ)'!N32:N33,'ป.1(สมศ)'!N43:N44,'ป.1(สมศ)'!N56:N57,'ป.1(สมศ)'!N58:N59,'ป.1(สมศ)'!N65,'ป.1(สมศ)'!N71,'ป.1(สมศ)'!N72,'ป.1(สมศ)'!N74,'ป.1(สมศ)'!N75)/16</f>
        <v>0</v>
      </c>
      <c r="Q17" s="248">
        <f>('ป.1(สกอ)'!N22+'ป.1(สกอ)'!N15+'ป.1(สกอ)'!N18+'ป.1(สกอ)'!N14+'ป.1(สกอ)'!N21+'ป.1(สกอ)'!N23+'ป.1(สกอ)'!N46+'ป.1(สกอ)'!N12+'ป.1(สกอ)'!N41+'ป.1(สกอ)'!N42+'ป.1(สกอ)'!N43+'ป.1(สกอ)'!N44+'ป.1(สกอ)'!N48+'ป.1(สกอ)'!N24+'ป.1(สกอ)'!N27+'ป.1(สกอ)'!N28+'ป.1(สกอ)'!N29+'ป.1(สกอ)'!N25+'ป.1(สกอ)'!N33+'ป.1(สกอ)'!N31+'ป.1(สกอ)'!N32+'ป.1(สกอ)'!N36+'ป.1(สกอ)'!N37+'ป.1(สกอ)'!N39)/24</f>
        <v>0</v>
      </c>
      <c r="R17" s="94">
        <f>('ป.1(สกอ)'!N22+'ป.1(สกอ)'!N15+'ป.1(สกอ)'!N18+'ป.1(สกอ)'!N14+'ป.1(สกอ)'!N21+'ป.1(สกอ)'!N23+'ป.1(สกอ)'!N46+'ป.1(สกอ)'!N12+'ป.1(สกอ)'!N41+'ป.1(สกอ)'!N42+'ป.1(สกอ)'!N43+'ป.1(สกอ)'!N44+'ป.1(สกอ)'!N48+'ป.1(สกอ)'!N24+'ป.1(สกอ)'!N27+'ป.1(สกอ)'!N28+'ป.1(สกอ)'!N25+'ป.1(สกอ)'!N33+'ป.1(สกอ)'!N31+'ป.1(สกอ)'!N32+'ป.1(สกอ)'!N36+'ป.1(สกอ)'!N37+'ป.1(สกอ)'!N39)/23</f>
        <v>0</v>
      </c>
      <c r="S17" s="97">
        <f>SUM('ป.1(สมศ)'!O40:O41,'ป.1(สมศ)'!O77,'ป.1(สมศ)'!O79,'ป.1(สมศ)'!O11,'ป.1(สมศ)'!O75,'ป.1(สมศ)'!O13:O14,'ป.1(สมศ)'!O17:O18,'ป.1(สมศ)'!O19:O20,'ป.1(สมศ)'!O32:O33,'ป.1(สมศ)'!O43:O44,'ป.1(สมศ)'!O56:O57,'ป.1(สมศ)'!O58:O59,'ป.1(สมศ)'!O65,'ป.1(สมศ)'!O71,'ป.1(สมศ)'!O72,'ป.1(สมศ)'!O74)/16</f>
        <v>0</v>
      </c>
      <c r="T17" s="246"/>
      <c r="U17" s="41"/>
      <c r="V17" s="41"/>
      <c r="W17" s="41"/>
      <c r="X17" s="41"/>
      <c r="Y17" s="41"/>
    </row>
    <row r="18" spans="1:25" ht="93">
      <c r="A18" s="32" t="s">
        <v>141</v>
      </c>
      <c r="B18" s="98" t="str">
        <f>IF(B17&gt;=4.51,"ดีมาก",IF(B17&gt;=3.51,"ดี",IF(B17&gt;=2.51,"พอใช้",IF(B17&gt;=1.51,"ต้องปรับปรุง",IF(B17&lt;=1.5,"ต้องปรับปรุงเร่งด่วน")))))</f>
        <v>ต้องปรับปรุงเร่งด่วน</v>
      </c>
      <c r="C18" s="98" t="str">
        <f aca="true" t="shared" si="5" ref="C18:S18">IF(C17&gt;=4.51,"ดีมาก",IF(C17&gt;=3.51,"ดี",IF(C17&gt;=2.51,"พอใช้",IF(C17&gt;=1.51,"ต้องปรับปรุง",IF(C17&lt;=1.5,"ต้องปรับปรุงเร่งด่วน")))))</f>
        <v>ต้องปรับปรุงเร่งด่วน</v>
      </c>
      <c r="D18" s="98" t="str">
        <f t="shared" si="5"/>
        <v>ต้องปรับปรุงเร่งด่วน</v>
      </c>
      <c r="E18" s="98" t="str">
        <f t="shared" si="5"/>
        <v>ต้องปรับปรุงเร่งด่วน</v>
      </c>
      <c r="F18" s="98" t="str">
        <f t="shared" si="5"/>
        <v>ต้องปรับปรุงเร่งด่วน</v>
      </c>
      <c r="G18" s="98" t="str">
        <f t="shared" si="5"/>
        <v>ต้องปรับปรุงเร่งด่วน</v>
      </c>
      <c r="H18" s="98" t="str">
        <f t="shared" si="5"/>
        <v>ต้องปรับปรุงเร่งด่วน</v>
      </c>
      <c r="I18" s="98" t="str">
        <f t="shared" si="5"/>
        <v>ต้องปรับปรุงเร่งด่วน</v>
      </c>
      <c r="J18" s="98" t="str">
        <f t="shared" si="5"/>
        <v>ต้องปรับปรุงเร่งด่วน</v>
      </c>
      <c r="K18" s="98" t="str">
        <f t="shared" si="5"/>
        <v>ต้องปรับปรุงเร่งด่วน</v>
      </c>
      <c r="L18" s="98" t="str">
        <f t="shared" si="5"/>
        <v>ต้องปรับปรุงเร่งด่วน</v>
      </c>
      <c r="M18" s="98" t="str">
        <f t="shared" si="5"/>
        <v>ต้องปรับปรุงเร่งด่วน</v>
      </c>
      <c r="N18" s="98" t="str">
        <f t="shared" si="5"/>
        <v>ต้องปรับปรุงเร่งด่วน</v>
      </c>
      <c r="O18" s="98" t="str">
        <f t="shared" si="5"/>
        <v>ต้องปรับปรุงเร่งด่วน</v>
      </c>
      <c r="P18" s="98" t="str">
        <f t="shared" si="5"/>
        <v>ต้องปรับปรุงเร่งด่วน</v>
      </c>
      <c r="Q18" s="98" t="str">
        <f t="shared" si="5"/>
        <v>ต้องปรับปรุงเร่งด่วน</v>
      </c>
      <c r="R18" s="98" t="str">
        <f t="shared" si="5"/>
        <v>ต้องปรับปรุงเร่งด่วน</v>
      </c>
      <c r="S18" s="98" t="str">
        <f t="shared" si="5"/>
        <v>ต้องปรับปรุงเร่งด่วน</v>
      </c>
      <c r="T18" s="247"/>
      <c r="U18" s="36"/>
      <c r="V18" s="36"/>
      <c r="W18" s="36"/>
      <c r="X18" s="36"/>
      <c r="Y18" s="36"/>
    </row>
    <row r="19" ht="22.5">
      <c r="AA19" s="38"/>
    </row>
    <row r="20" ht="22.5">
      <c r="AA20" s="38"/>
    </row>
    <row r="21" ht="22.5">
      <c r="AA21" s="38"/>
    </row>
    <row r="22" spans="26:27" ht="22.5">
      <c r="Z22" s="37"/>
      <c r="AA22" s="38"/>
    </row>
    <row r="23" spans="5:27" ht="22.5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7"/>
    </row>
    <row r="24" spans="5:26" ht="22.5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21:25" ht="22.5">
      <c r="U25" s="27"/>
      <c r="V25" s="27"/>
      <c r="W25" s="27"/>
      <c r="X25" s="27"/>
      <c r="Y25" s="27"/>
    </row>
    <row r="26" spans="21:25" ht="22.5">
      <c r="U26" s="27"/>
      <c r="V26" s="27"/>
      <c r="W26" s="27"/>
      <c r="X26" s="27"/>
      <c r="Y26" s="27"/>
    </row>
  </sheetData>
  <sheetProtection/>
  <mergeCells count="17">
    <mergeCell ref="J4:M4"/>
    <mergeCell ref="T5:V5"/>
    <mergeCell ref="W5:Y5"/>
    <mergeCell ref="T3:Y4"/>
    <mergeCell ref="N5:P5"/>
    <mergeCell ref="N4:S4"/>
    <mergeCell ref="Q5:S5"/>
    <mergeCell ref="A1:Y1"/>
    <mergeCell ref="A2:Y2"/>
    <mergeCell ref="J5:K5"/>
    <mergeCell ref="L5:M5"/>
    <mergeCell ref="D5:F5"/>
    <mergeCell ref="G5:I5"/>
    <mergeCell ref="D4:I4"/>
    <mergeCell ref="B4:C4"/>
    <mergeCell ref="A3:A6"/>
    <mergeCell ref="B3:S3"/>
  </mergeCells>
  <printOptions/>
  <pageMargins left="0.1968503937007874" right="0.2755905511811024" top="0.31496062992125984" bottom="0.31496062992125984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qaku03</dc:creator>
  <cp:keywords/>
  <dc:description/>
  <cp:lastModifiedBy>Office Of Computer Services</cp:lastModifiedBy>
  <cp:lastPrinted>2011-04-04T07:12:00Z</cp:lastPrinted>
  <dcterms:created xsi:type="dcterms:W3CDTF">2009-12-03T04:18:54Z</dcterms:created>
  <dcterms:modified xsi:type="dcterms:W3CDTF">2011-04-07T08:40:29Z</dcterms:modified>
  <cp:category/>
  <cp:version/>
  <cp:contentType/>
  <cp:contentStatus/>
</cp:coreProperties>
</file>